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Vilnius economics\vilnius economics Dropbox\Ve Team Folder\_Projektai\_VANDUO\Kedainiu vandenys\_2023 RAS\Patikra\TU 8.1.1\"/>
    </mc:Choice>
  </mc:AlternateContent>
  <xr:revisionPtr revIDLastSave="0" documentId="13_ncr:1_{E57FC44E-0D21-437A-9079-18FD3E159A56}" xr6:coauthVersionLast="47" xr6:coauthVersionMax="47" xr10:uidLastSave="{00000000-0000-0000-0000-000000000000}"/>
  <bookViews>
    <workbookView xWindow="28680" yWindow="-120" windowWidth="29040" windowHeight="15720" activeTab="4" xr2:uid="{378A2157-022C-44F8-9850-36B8D79B2DDA}"/>
  </bookViews>
  <sheets>
    <sheet name="1" sheetId="1" r:id="rId1"/>
    <sheet name="3" sheetId="2" r:id="rId2"/>
    <sheet name="4" sheetId="3" r:id="rId3"/>
    <sheet name="5" sheetId="4" r:id="rId4"/>
    <sheet name="6" sheetId="5" r:id="rId5"/>
    <sheet name="7" sheetId="6" r:id="rId6"/>
    <sheet name="8" sheetId="7" r:id="rId7"/>
    <sheet name="9" sheetId="8" r:id="rId8"/>
    <sheet name="10" sheetId="9" r:id="rId9"/>
    <sheet name="11" sheetId="10" r:id="rId10"/>
  </sheets>
  <definedNames>
    <definedName name="_f" hidden="1">#REF!</definedName>
    <definedName name="_xlnm._FilterDatabase" hidden="1">#REF!</definedName>
    <definedName name="filter" hidden="1">#REF!</definedName>
    <definedName name="kint" hidden="1">#REF!</definedName>
    <definedName name="l" hidden="1">#REF!</definedName>
    <definedName name="lkjh" hidden="1">#REF!</definedName>
    <definedName name="lkmjh" hidden="1">#REF!</definedName>
    <definedName name="puma" hidden="1">#REF!</definedName>
    <definedName name="sxdysxcgasdc" hidden="1">#REF!</definedName>
    <definedName name="x" hidden="1">#REF!</definedName>
    <definedName name="XLSCOMPFILTER" hidden="1">#REF!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5" i="10" l="1"/>
  <c r="E37" i="10"/>
  <c r="F18" i="9"/>
  <c r="F14" i="9"/>
  <c r="E14" i="9"/>
  <c r="E48" i="10"/>
  <c r="E69" i="8"/>
  <c r="E39" i="10"/>
  <c r="E38" i="10"/>
  <c r="G105" i="7"/>
  <c r="G107" i="7" s="1"/>
  <c r="F107" i="7"/>
  <c r="E97" i="7"/>
  <c r="E96" i="7"/>
  <c r="E77" i="7"/>
  <c r="E42" i="7"/>
  <c r="E130" i="8"/>
  <c r="E129" i="8" s="1"/>
  <c r="E50" i="10"/>
  <c r="E34" i="7"/>
  <c r="E31" i="7"/>
  <c r="E56" i="7"/>
  <c r="E14" i="7"/>
  <c r="E46" i="10"/>
  <c r="E41" i="10"/>
  <c r="D87" i="6"/>
  <c r="D128" i="5"/>
  <c r="G115" i="6"/>
  <c r="C115" i="6"/>
  <c r="M114" i="6"/>
  <c r="H114" i="6"/>
  <c r="C114" i="6"/>
  <c r="Q113" i="6"/>
  <c r="C113" i="6"/>
  <c r="J112" i="6"/>
  <c r="C112" i="6"/>
  <c r="C111" i="6"/>
  <c r="O110" i="6"/>
  <c r="N110" i="5"/>
  <c r="K110" i="6"/>
  <c r="G110" i="6"/>
  <c r="F110" i="6"/>
  <c r="C110" i="6"/>
  <c r="J110" i="6"/>
  <c r="C109" i="6"/>
  <c r="L108" i="6"/>
  <c r="G108" i="6"/>
  <c r="C108" i="6"/>
  <c r="C107" i="6"/>
  <c r="P106" i="6"/>
  <c r="O106" i="6"/>
  <c r="N106" i="5"/>
  <c r="M106" i="6"/>
  <c r="K106" i="6"/>
  <c r="H106" i="6"/>
  <c r="G106" i="6"/>
  <c r="C106" i="6"/>
  <c r="J106" i="6"/>
  <c r="M105" i="6"/>
  <c r="C105" i="6"/>
  <c r="K104" i="6"/>
  <c r="G104" i="6"/>
  <c r="C104" i="6"/>
  <c r="C103" i="6"/>
  <c r="Q102" i="6"/>
  <c r="O102" i="6"/>
  <c r="M102" i="6"/>
  <c r="K102" i="6"/>
  <c r="E102" i="5"/>
  <c r="G102" i="6"/>
  <c r="F102" i="6"/>
  <c r="C102" i="6"/>
  <c r="J102" i="6"/>
  <c r="K101" i="6"/>
  <c r="C101" i="6"/>
  <c r="C100" i="6"/>
  <c r="K99" i="6"/>
  <c r="C99" i="6"/>
  <c r="Q98" i="6"/>
  <c r="M98" i="6"/>
  <c r="K98" i="6"/>
  <c r="H98" i="6"/>
  <c r="C98" i="6"/>
  <c r="I98" i="5"/>
  <c r="C97" i="6"/>
  <c r="L96" i="6"/>
  <c r="G96" i="6"/>
  <c r="C96" i="6"/>
  <c r="N95" i="5"/>
  <c r="J95" i="6"/>
  <c r="C95" i="6"/>
  <c r="L95" i="6"/>
  <c r="Q91" i="5"/>
  <c r="G91" i="5"/>
  <c r="H89" i="5"/>
  <c r="O86" i="5"/>
  <c r="M85" i="5"/>
  <c r="P85" i="5"/>
  <c r="M84" i="5"/>
  <c r="Q83" i="5"/>
  <c r="P83" i="5"/>
  <c r="O83" i="5"/>
  <c r="K83" i="5"/>
  <c r="J83" i="5"/>
  <c r="G83" i="5"/>
  <c r="F83" i="5"/>
  <c r="Q79" i="5"/>
  <c r="H79" i="5"/>
  <c r="L79" i="5"/>
  <c r="D78" i="5"/>
  <c r="K77" i="5"/>
  <c r="Q75" i="5"/>
  <c r="O75" i="5"/>
  <c r="L75" i="5"/>
  <c r="K75" i="5"/>
  <c r="I75" i="5"/>
  <c r="H75" i="5"/>
  <c r="G75" i="5"/>
  <c r="F75" i="5"/>
  <c r="E75" i="5"/>
  <c r="J75" i="5"/>
  <c r="K72" i="5"/>
  <c r="L69" i="5"/>
  <c r="G59" i="5"/>
  <c r="G39" i="5"/>
  <c r="D193" i="3"/>
  <c r="Q143" i="3"/>
  <c r="J143" i="3"/>
  <c r="H143" i="3"/>
  <c r="E183" i="3"/>
  <c r="I179" i="3"/>
  <c r="E175" i="3"/>
  <c r="O120" i="3"/>
  <c r="N169" i="3"/>
  <c r="N164" i="3"/>
  <c r="I163" i="3"/>
  <c r="I162" i="3"/>
  <c r="N154" i="3"/>
  <c r="E154" i="3"/>
  <c r="I150" i="3"/>
  <c r="I149" i="3"/>
  <c r="M143" i="3"/>
  <c r="Q142" i="3"/>
  <c r="Q141" i="3"/>
  <c r="M141" i="3"/>
  <c r="H141" i="3"/>
  <c r="Q140" i="3"/>
  <c r="J140" i="3"/>
  <c r="Q139" i="3"/>
  <c r="H139" i="3"/>
  <c r="Q138" i="3"/>
  <c r="P135" i="3"/>
  <c r="M135" i="3"/>
  <c r="K135" i="3"/>
  <c r="H135" i="3"/>
  <c r="P133" i="3"/>
  <c r="M133" i="3"/>
  <c r="G133" i="3"/>
  <c r="Q131" i="3"/>
  <c r="P131" i="3"/>
  <c r="O131" i="3"/>
  <c r="M131" i="3"/>
  <c r="K131" i="3"/>
  <c r="H131" i="3"/>
  <c r="G131" i="3"/>
  <c r="F131" i="3"/>
  <c r="E131" i="3"/>
  <c r="L131" i="3"/>
  <c r="J130" i="3"/>
  <c r="G130" i="3"/>
  <c r="F130" i="3"/>
  <c r="J129" i="3"/>
  <c r="G129" i="3"/>
  <c r="L128" i="3"/>
  <c r="K128" i="3"/>
  <c r="P127" i="3"/>
  <c r="M127" i="3"/>
  <c r="K127" i="3"/>
  <c r="J127" i="3"/>
  <c r="L127" i="3"/>
  <c r="L126" i="3"/>
  <c r="K126" i="3"/>
  <c r="Q124" i="3"/>
  <c r="P124" i="3"/>
  <c r="K124" i="3"/>
  <c r="J124" i="3"/>
  <c r="F124" i="3"/>
  <c r="Q122" i="3"/>
  <c r="P122" i="3"/>
  <c r="O122" i="3"/>
  <c r="K122" i="3"/>
  <c r="J122" i="3"/>
  <c r="F122" i="3"/>
  <c r="M117" i="3"/>
  <c r="L117" i="3"/>
  <c r="K117" i="3"/>
  <c r="G117" i="3"/>
  <c r="F117" i="3"/>
  <c r="Q116" i="3"/>
  <c r="O116" i="3"/>
  <c r="J116" i="3"/>
  <c r="G116" i="3"/>
  <c r="F116" i="3"/>
  <c r="F115" i="3"/>
  <c r="Q112" i="3"/>
  <c r="P112" i="3"/>
  <c r="O112" i="3"/>
  <c r="K112" i="3"/>
  <c r="J112" i="3"/>
  <c r="H112" i="3"/>
  <c r="G112" i="3"/>
  <c r="F112" i="3"/>
  <c r="M111" i="3"/>
  <c r="L111" i="3"/>
  <c r="K111" i="3"/>
  <c r="G111" i="3"/>
  <c r="O110" i="3"/>
  <c r="K110" i="3"/>
  <c r="J110" i="3"/>
  <c r="F110" i="3"/>
  <c r="F109" i="3"/>
  <c r="K107" i="3"/>
  <c r="M105" i="3"/>
  <c r="L105" i="3"/>
  <c r="H105" i="3"/>
  <c r="L104" i="3"/>
  <c r="H104" i="3"/>
  <c r="G104" i="3"/>
  <c r="K102" i="3"/>
  <c r="J102" i="3"/>
  <c r="Q102" i="3"/>
  <c r="L100" i="3"/>
  <c r="H100" i="3"/>
  <c r="H99" i="3" s="1"/>
  <c r="D99" i="3"/>
  <c r="L97" i="3"/>
  <c r="K97" i="3"/>
  <c r="F97" i="3"/>
  <c r="N91" i="3"/>
  <c r="E91" i="3"/>
  <c r="N90" i="3"/>
  <c r="N89" i="3"/>
  <c r="I89" i="3"/>
  <c r="E89" i="3"/>
  <c r="D89" i="3" s="1"/>
  <c r="I88" i="3"/>
  <c r="N87" i="3"/>
  <c r="I87" i="3"/>
  <c r="E87" i="3"/>
  <c r="N86" i="3"/>
  <c r="K84" i="3"/>
  <c r="E86" i="3"/>
  <c r="P84" i="3"/>
  <c r="M84" i="3"/>
  <c r="G84" i="3"/>
  <c r="Q84" i="3"/>
  <c r="L84" i="3"/>
  <c r="N83" i="3"/>
  <c r="I83" i="3"/>
  <c r="E83" i="3"/>
  <c r="I82" i="3"/>
  <c r="N81" i="3"/>
  <c r="I81" i="3"/>
  <c r="E81" i="3"/>
  <c r="N80" i="3"/>
  <c r="E80" i="3"/>
  <c r="N79" i="3"/>
  <c r="E79" i="3"/>
  <c r="N78" i="3"/>
  <c r="I78" i="3"/>
  <c r="E78" i="3"/>
  <c r="D78" i="3" s="1"/>
  <c r="I76" i="3"/>
  <c r="N75" i="3"/>
  <c r="E75" i="3"/>
  <c r="I74" i="3"/>
  <c r="N73" i="3"/>
  <c r="E73" i="3"/>
  <c r="N72" i="3"/>
  <c r="I72" i="3"/>
  <c r="N71" i="3"/>
  <c r="I70" i="3"/>
  <c r="H68" i="3"/>
  <c r="N69" i="3"/>
  <c r="K68" i="3"/>
  <c r="E69" i="3"/>
  <c r="N67" i="3"/>
  <c r="L65" i="3"/>
  <c r="H65" i="3"/>
  <c r="E67" i="3"/>
  <c r="Q65" i="3"/>
  <c r="N66" i="3"/>
  <c r="I66" i="3"/>
  <c r="P65" i="3"/>
  <c r="O65" i="3"/>
  <c r="K65" i="3"/>
  <c r="G65" i="3"/>
  <c r="I64" i="3"/>
  <c r="I63" i="3"/>
  <c r="E63" i="3"/>
  <c r="I62" i="3"/>
  <c r="N61" i="3"/>
  <c r="I61" i="3"/>
  <c r="E61" i="3"/>
  <c r="N60" i="3"/>
  <c r="M58" i="3"/>
  <c r="N59" i="3"/>
  <c r="I59" i="3"/>
  <c r="O58" i="3"/>
  <c r="I57" i="3"/>
  <c r="N56" i="3"/>
  <c r="E56" i="3"/>
  <c r="N54" i="3"/>
  <c r="H52" i="3"/>
  <c r="E54" i="3"/>
  <c r="N53" i="3"/>
  <c r="E33" i="9"/>
  <c r="L52" i="3"/>
  <c r="I53" i="3"/>
  <c r="O52" i="3"/>
  <c r="G52" i="3"/>
  <c r="F52" i="3"/>
  <c r="I51" i="3"/>
  <c r="N50" i="3"/>
  <c r="E50" i="3"/>
  <c r="N48" i="3"/>
  <c r="E48" i="3"/>
  <c r="N47" i="3"/>
  <c r="I47" i="3"/>
  <c r="L45" i="3"/>
  <c r="Q45" i="3"/>
  <c r="P43" i="3"/>
  <c r="N44" i="3"/>
  <c r="M43" i="3"/>
  <c r="I44" i="3"/>
  <c r="H43" i="3"/>
  <c r="Q43" i="3"/>
  <c r="L43" i="3"/>
  <c r="K43" i="3"/>
  <c r="J43" i="3"/>
  <c r="N42" i="3"/>
  <c r="I42" i="3"/>
  <c r="Q40" i="3"/>
  <c r="N41" i="3"/>
  <c r="L40" i="3"/>
  <c r="E41" i="3"/>
  <c r="P40" i="3"/>
  <c r="N40" i="3" s="1"/>
  <c r="O40" i="3"/>
  <c r="M40" i="3"/>
  <c r="H40" i="3"/>
  <c r="G40" i="3"/>
  <c r="N39" i="3"/>
  <c r="M37" i="3"/>
  <c r="I39" i="3"/>
  <c r="D39" i="3" s="1"/>
  <c r="E39" i="3"/>
  <c r="P37" i="3"/>
  <c r="I38" i="3"/>
  <c r="E38" i="3"/>
  <c r="Q37" i="3"/>
  <c r="O37" i="3"/>
  <c r="O15" i="3" s="1"/>
  <c r="L37" i="3"/>
  <c r="L15" i="3" s="1"/>
  <c r="J37" i="3"/>
  <c r="J15" i="3" s="1"/>
  <c r="H37" i="3"/>
  <c r="G37" i="3"/>
  <c r="G15" i="3" s="1"/>
  <c r="F37" i="3"/>
  <c r="E37" i="3" s="1"/>
  <c r="E15" i="3" s="1"/>
  <c r="M34" i="3"/>
  <c r="E36" i="3"/>
  <c r="F34" i="3"/>
  <c r="O34" i="3"/>
  <c r="K34" i="3"/>
  <c r="J34" i="3"/>
  <c r="N33" i="3"/>
  <c r="I33" i="3"/>
  <c r="D33" i="3" s="1"/>
  <c r="E33" i="3"/>
  <c r="N32" i="3"/>
  <c r="I32" i="3"/>
  <c r="D32" i="3" s="1"/>
  <c r="E32" i="3"/>
  <c r="Q31" i="3"/>
  <c r="P31" i="3"/>
  <c r="P12" i="3" s="1"/>
  <c r="O31" i="3"/>
  <c r="N31" i="3" s="1"/>
  <c r="M31" i="3"/>
  <c r="K31" i="3"/>
  <c r="J31" i="3"/>
  <c r="H31" i="3"/>
  <c r="G31" i="3"/>
  <c r="G12" i="3" s="1"/>
  <c r="F31" i="3"/>
  <c r="N30" i="3"/>
  <c r="I30" i="3"/>
  <c r="E30" i="3"/>
  <c r="F15" i="3"/>
  <c r="Q12" i="3"/>
  <c r="K12" i="3"/>
  <c r="H12" i="3"/>
  <c r="F12" i="3"/>
  <c r="P11" i="3"/>
  <c r="O11" i="3"/>
  <c r="M11" i="3"/>
  <c r="L11" i="3"/>
  <c r="K11" i="3"/>
  <c r="J11" i="3"/>
  <c r="F11" i="3"/>
  <c r="D35" i="2"/>
  <c r="D31" i="2"/>
  <c r="D16" i="2"/>
  <c r="D12" i="2"/>
  <c r="O12" i="3" l="1"/>
  <c r="N12" i="3" s="1"/>
  <c r="P15" i="3"/>
  <c r="D30" i="3"/>
  <c r="P52" i="3"/>
  <c r="N52" i="3" s="1"/>
  <c r="N77" i="3"/>
  <c r="F98" i="3"/>
  <c r="M98" i="3"/>
  <c r="Q98" i="3"/>
  <c r="H98" i="3"/>
  <c r="G98" i="3"/>
  <c r="O98" i="3"/>
  <c r="L98" i="3"/>
  <c r="L96" i="3" s="1"/>
  <c r="J98" i="3"/>
  <c r="K98" i="3"/>
  <c r="F106" i="3"/>
  <c r="M106" i="3"/>
  <c r="H106" i="3"/>
  <c r="Q106" i="3"/>
  <c r="J106" i="3"/>
  <c r="K106" i="3"/>
  <c r="K132" i="3"/>
  <c r="M132" i="3"/>
  <c r="O132" i="3"/>
  <c r="K133" i="3"/>
  <c r="H11" i="3"/>
  <c r="N35" i="3"/>
  <c r="P34" i="3"/>
  <c r="I41" i="3"/>
  <c r="D41" i="3" s="1"/>
  <c r="J40" i="3"/>
  <c r="M52" i="3"/>
  <c r="I55" i="3"/>
  <c r="N65" i="3"/>
  <c r="E71" i="3"/>
  <c r="P68" i="3"/>
  <c r="E72" i="3"/>
  <c r="E77" i="3"/>
  <c r="N82" i="3"/>
  <c r="D83" i="3"/>
  <c r="P98" i="3"/>
  <c r="L99" i="3"/>
  <c r="P106" i="3"/>
  <c r="I127" i="3"/>
  <c r="K105" i="3"/>
  <c r="L34" i="3"/>
  <c r="I34" i="3" s="1"/>
  <c r="I43" i="3"/>
  <c r="I80" i="3"/>
  <c r="M128" i="3"/>
  <c r="J135" i="3"/>
  <c r="K52" i="3"/>
  <c r="D56" i="2"/>
  <c r="M15" i="3"/>
  <c r="G34" i="3"/>
  <c r="G45" i="3"/>
  <c r="D50" i="3"/>
  <c r="I56" i="3"/>
  <c r="K58" i="3"/>
  <c r="E62" i="3"/>
  <c r="E66" i="3"/>
  <c r="H84" i="3"/>
  <c r="P136" i="3"/>
  <c r="O136" i="3"/>
  <c r="K136" i="3"/>
  <c r="O84" i="3"/>
  <c r="N88" i="3"/>
  <c r="P45" i="3"/>
  <c r="E52" i="3"/>
  <c r="Q68" i="3"/>
  <c r="H58" i="3"/>
  <c r="G58" i="3"/>
  <c r="D63" i="3"/>
  <c r="J68" i="3"/>
  <c r="J95" i="3"/>
  <c r="P95" i="3"/>
  <c r="O95" i="3"/>
  <c r="M95" i="3"/>
  <c r="K100" i="3"/>
  <c r="I156" i="3"/>
  <c r="J104" i="3"/>
  <c r="N15" i="3"/>
  <c r="I50" i="3"/>
  <c r="E59" i="3"/>
  <c r="G68" i="3"/>
  <c r="D81" i="3"/>
  <c r="N147" i="3"/>
  <c r="N38" i="3"/>
  <c r="E47" i="3"/>
  <c r="D47" i="3" s="1"/>
  <c r="F45" i="3"/>
  <c r="N62" i="3"/>
  <c r="L68" i="3"/>
  <c r="D26" i="2"/>
  <c r="D38" i="3"/>
  <c r="M45" i="3"/>
  <c r="D42" i="2"/>
  <c r="D40" i="2" s="1"/>
  <c r="D34" i="2" s="1"/>
  <c r="E31" i="3"/>
  <c r="I36" i="3"/>
  <c r="E44" i="3"/>
  <c r="D44" i="3" s="1"/>
  <c r="F43" i="3"/>
  <c r="J45" i="3"/>
  <c r="K45" i="3"/>
  <c r="F65" i="3"/>
  <c r="M65" i="3"/>
  <c r="I75" i="3"/>
  <c r="E42" i="3"/>
  <c r="D42" i="3" s="1"/>
  <c r="E31" i="9"/>
  <c r="D87" i="3"/>
  <c r="Q137" i="3"/>
  <c r="I86" i="3"/>
  <c r="J84" i="3"/>
  <c r="J103" i="3"/>
  <c r="Q103" i="3"/>
  <c r="G103" i="3"/>
  <c r="P103" i="3"/>
  <c r="F103" i="3"/>
  <c r="O103" i="3"/>
  <c r="M103" i="3"/>
  <c r="L103" i="3"/>
  <c r="H103" i="3"/>
  <c r="K103" i="3"/>
  <c r="D20" i="2"/>
  <c r="H15" i="3"/>
  <c r="F40" i="3"/>
  <c r="E11" i="3"/>
  <c r="N11" i="3"/>
  <c r="N34" i="3"/>
  <c r="E53" i="3"/>
  <c r="F58" i="3"/>
  <c r="P58" i="3"/>
  <c r="D80" i="3"/>
  <c r="I90" i="3"/>
  <c r="G122" i="3"/>
  <c r="E174" i="3"/>
  <c r="I11" i="3"/>
  <c r="Q11" i="3"/>
  <c r="M12" i="3"/>
  <c r="Q15" i="3"/>
  <c r="H34" i="3"/>
  <c r="K40" i="3"/>
  <c r="G43" i="3"/>
  <c r="O43" i="3"/>
  <c r="O29" i="3" s="1"/>
  <c r="O45" i="3"/>
  <c r="I48" i="3"/>
  <c r="I54" i="3"/>
  <c r="L58" i="3"/>
  <c r="I67" i="3"/>
  <c r="E70" i="3"/>
  <c r="N70" i="3"/>
  <c r="I73" i="3"/>
  <c r="G94" i="3"/>
  <c r="G97" i="3"/>
  <c r="G102" i="3"/>
  <c r="G105" i="3"/>
  <c r="F111" i="3"/>
  <c r="K119" i="3"/>
  <c r="D121" i="3"/>
  <c r="G124" i="3"/>
  <c r="L125" i="3"/>
  <c r="J125" i="3"/>
  <c r="P126" i="3"/>
  <c r="H126" i="3"/>
  <c r="Q126" i="3"/>
  <c r="G126" i="3"/>
  <c r="N150" i="3"/>
  <c r="O129" i="3"/>
  <c r="Q130" i="3"/>
  <c r="F135" i="3"/>
  <c r="M139" i="3"/>
  <c r="D235" i="3"/>
  <c r="Q58" i="3"/>
  <c r="F94" i="3"/>
  <c r="P94" i="3"/>
  <c r="F96" i="3"/>
  <c r="F102" i="3"/>
  <c r="M102" i="3"/>
  <c r="E102" i="3"/>
  <c r="P102" i="3"/>
  <c r="H107" i="3"/>
  <c r="O107" i="3"/>
  <c r="N112" i="3"/>
  <c r="F114" i="3"/>
  <c r="G123" i="3"/>
  <c r="P134" i="3"/>
  <c r="E167" i="3"/>
  <c r="F120" i="3"/>
  <c r="Q135" i="3"/>
  <c r="F14" i="3"/>
  <c r="Q34" i="3"/>
  <c r="E35" i="3"/>
  <c r="N37" i="3"/>
  <c r="H45" i="3"/>
  <c r="E46" i="3"/>
  <c r="N46" i="3"/>
  <c r="I49" i="3"/>
  <c r="E51" i="3"/>
  <c r="N51" i="3"/>
  <c r="E57" i="3"/>
  <c r="N57" i="3"/>
  <c r="I60" i="3"/>
  <c r="D61" i="3"/>
  <c r="E64" i="3"/>
  <c r="N64" i="3"/>
  <c r="E76" i="3"/>
  <c r="N76" i="3"/>
  <c r="I79" i="3"/>
  <c r="I85" i="3"/>
  <c r="D93" i="3"/>
  <c r="D96" i="3"/>
  <c r="D101" i="3"/>
  <c r="H102" i="3"/>
  <c r="P104" i="3"/>
  <c r="E112" i="3"/>
  <c r="J117" i="3"/>
  <c r="Q117" i="3"/>
  <c r="P117" i="3"/>
  <c r="H117" i="3"/>
  <c r="O117" i="3"/>
  <c r="L119" i="3"/>
  <c r="N122" i="3"/>
  <c r="L123" i="3"/>
  <c r="P128" i="3"/>
  <c r="Q128" i="3"/>
  <c r="G128" i="3"/>
  <c r="K130" i="3"/>
  <c r="F134" i="3"/>
  <c r="E150" i="3"/>
  <c r="E161" i="3"/>
  <c r="N175" i="3"/>
  <c r="N188" i="3"/>
  <c r="D198" i="3"/>
  <c r="D205" i="3"/>
  <c r="D218" i="3"/>
  <c r="D66" i="3"/>
  <c r="I69" i="3"/>
  <c r="D69" i="3" s="1"/>
  <c r="D72" i="3"/>
  <c r="E82" i="3"/>
  <c r="E88" i="3"/>
  <c r="I91" i="3"/>
  <c r="D91" i="3" s="1"/>
  <c r="J109" i="3"/>
  <c r="Q109" i="3"/>
  <c r="P109" i="3"/>
  <c r="H109" i="3"/>
  <c r="D108" i="3"/>
  <c r="O109" i="3"/>
  <c r="J113" i="3"/>
  <c r="O113" i="3"/>
  <c r="O130" i="3"/>
  <c r="N131" i="3"/>
  <c r="I157" i="3"/>
  <c r="I177" i="3"/>
  <c r="I183" i="3"/>
  <c r="J131" i="3"/>
  <c r="I185" i="3"/>
  <c r="J133" i="3"/>
  <c r="J119" i="3"/>
  <c r="Q119" i="3"/>
  <c r="H119" i="3"/>
  <c r="D118" i="3"/>
  <c r="J123" i="3"/>
  <c r="P123" i="3"/>
  <c r="H123" i="3"/>
  <c r="O123" i="3"/>
  <c r="J141" i="3"/>
  <c r="J12" i="3"/>
  <c r="I35" i="3"/>
  <c r="N36" i="3"/>
  <c r="I46" i="3"/>
  <c r="E60" i="3"/>
  <c r="M68" i="3"/>
  <c r="I71" i="3"/>
  <c r="F84" i="3"/>
  <c r="E85" i="3"/>
  <c r="N85" i="3"/>
  <c r="E90" i="3"/>
  <c r="L94" i="3"/>
  <c r="J97" i="3"/>
  <c r="Q97" i="3"/>
  <c r="F100" i="3"/>
  <c r="M100" i="3"/>
  <c r="P100" i="3"/>
  <c r="L102" i="3"/>
  <c r="I102" i="3" s="1"/>
  <c r="J105" i="3"/>
  <c r="Q105" i="3"/>
  <c r="M107" i="3"/>
  <c r="G109" i="3"/>
  <c r="G113" i="3"/>
  <c r="Q115" i="3"/>
  <c r="P115" i="3"/>
  <c r="H115" i="3"/>
  <c r="D114" i="3"/>
  <c r="K116" i="3"/>
  <c r="H122" i="3"/>
  <c r="E122" i="3" s="1"/>
  <c r="M125" i="3"/>
  <c r="E169" i="3"/>
  <c r="I171" i="3"/>
  <c r="I176" i="3"/>
  <c r="H129" i="3"/>
  <c r="F132" i="3"/>
  <c r="J132" i="3"/>
  <c r="D191" i="3"/>
  <c r="D215" i="3"/>
  <c r="E35" i="9"/>
  <c r="J134" i="3"/>
  <c r="O134" i="3"/>
  <c r="G11" i="3"/>
  <c r="L31" i="3"/>
  <c r="K37" i="3"/>
  <c r="E49" i="3"/>
  <c r="N49" i="3"/>
  <c r="J52" i="3"/>
  <c r="Q52" i="3"/>
  <c r="E55" i="3"/>
  <c r="N55" i="3"/>
  <c r="J58" i="3"/>
  <c r="J65" i="3"/>
  <c r="F68" i="3"/>
  <c r="O68" i="3"/>
  <c r="E74" i="3"/>
  <c r="N74" i="3"/>
  <c r="I77" i="3"/>
  <c r="O94" i="3"/>
  <c r="K96" i="3"/>
  <c r="O97" i="3"/>
  <c r="G100" i="3"/>
  <c r="Q100" i="3"/>
  <c r="O102" i="3"/>
  <c r="K104" i="3"/>
  <c r="K109" i="3"/>
  <c r="J111" i="3"/>
  <c r="Q111" i="3"/>
  <c r="P111" i="3"/>
  <c r="H111" i="3"/>
  <c r="O111" i="3"/>
  <c r="K113" i="3"/>
  <c r="F119" i="3"/>
  <c r="F123" i="3"/>
  <c r="J138" i="3"/>
  <c r="J139" i="3"/>
  <c r="N146" i="3"/>
  <c r="J115" i="3"/>
  <c r="O115" i="3"/>
  <c r="I168" i="3"/>
  <c r="I169" i="3"/>
  <c r="L110" i="3"/>
  <c r="L116" i="3"/>
  <c r="L120" i="3"/>
  <c r="L124" i="3"/>
  <c r="L129" i="3"/>
  <c r="H138" i="3"/>
  <c r="D137" i="3"/>
  <c r="M138" i="3"/>
  <c r="O105" i="3"/>
  <c r="O119" i="3"/>
  <c r="L140" i="3"/>
  <c r="E32" i="9"/>
  <c r="M112" i="3"/>
  <c r="M120" i="3"/>
  <c r="M122" i="3"/>
  <c r="M124" i="3"/>
  <c r="M130" i="3"/>
  <c r="L139" i="3"/>
  <c r="J142" i="3"/>
  <c r="N162" i="3"/>
  <c r="N163" i="3"/>
  <c r="E164" i="3"/>
  <c r="N168" i="3"/>
  <c r="O138" i="3"/>
  <c r="H140" i="3"/>
  <c r="M140" i="3"/>
  <c r="N149" i="3"/>
  <c r="I154" i="3"/>
  <c r="E163" i="3"/>
  <c r="E171" i="3"/>
  <c r="N183" i="3"/>
  <c r="D183" i="3"/>
  <c r="K142" i="3"/>
  <c r="P140" i="3"/>
  <c r="D196" i="3"/>
  <c r="L133" i="3"/>
  <c r="P142" i="3"/>
  <c r="H142" i="3"/>
  <c r="M142" i="3"/>
  <c r="J107" i="3"/>
  <c r="N174" i="3"/>
  <c r="J126" i="3"/>
  <c r="O128" i="3"/>
  <c r="F128" i="3"/>
  <c r="D211" i="3"/>
  <c r="E44" i="5"/>
  <c r="L82" i="5"/>
  <c r="D81" i="5"/>
  <c r="O39" i="5"/>
  <c r="G62" i="5"/>
  <c r="P68" i="5"/>
  <c r="Q72" i="5"/>
  <c r="M72" i="5"/>
  <c r="D71" i="5"/>
  <c r="Q101" i="6"/>
  <c r="I46" i="5"/>
  <c r="Q50" i="5"/>
  <c r="Q62" i="5"/>
  <c r="M97" i="6"/>
  <c r="M70" i="6" s="1"/>
  <c r="O68" i="5"/>
  <c r="G68" i="5"/>
  <c r="L68" i="5"/>
  <c r="D67" i="5"/>
  <c r="J68" i="5"/>
  <c r="O73" i="5"/>
  <c r="K73" i="5"/>
  <c r="J73" i="5"/>
  <c r="O103" i="6"/>
  <c r="O76" i="5"/>
  <c r="F68" i="5"/>
  <c r="L92" i="5"/>
  <c r="Q92" i="5"/>
  <c r="H92" i="5"/>
  <c r="P92" i="5"/>
  <c r="F92" i="5"/>
  <c r="K92" i="5"/>
  <c r="M92" i="5"/>
  <c r="J92" i="5"/>
  <c r="D90" i="5"/>
  <c r="P107" i="6"/>
  <c r="N40" i="5"/>
  <c r="Q53" i="5"/>
  <c r="M70" i="5"/>
  <c r="J70" i="5"/>
  <c r="H72" i="5"/>
  <c r="N83" i="5"/>
  <c r="Q96" i="6"/>
  <c r="Q69" i="5"/>
  <c r="F74" i="5"/>
  <c r="G77" i="5"/>
  <c r="P80" i="5"/>
  <c r="G88" i="5"/>
  <c r="H93" i="5"/>
  <c r="L69" i="6"/>
  <c r="H99" i="6"/>
  <c r="I106" i="5"/>
  <c r="P110" i="6"/>
  <c r="O113" i="6"/>
  <c r="Q114" i="6"/>
  <c r="Q92" i="6" s="1"/>
  <c r="J115" i="6"/>
  <c r="G86" i="5"/>
  <c r="Q86" i="5"/>
  <c r="K86" i="5"/>
  <c r="D87" i="5"/>
  <c r="H73" i="5"/>
  <c r="P73" i="5"/>
  <c r="O74" i="5"/>
  <c r="O112" i="6"/>
  <c r="N112" i="5"/>
  <c r="M115" i="6"/>
  <c r="J69" i="5"/>
  <c r="P69" i="5"/>
  <c r="J74" i="5"/>
  <c r="L77" i="5"/>
  <c r="O84" i="5"/>
  <c r="G84" i="5"/>
  <c r="H84" i="5"/>
  <c r="P84" i="5"/>
  <c r="J85" i="5"/>
  <c r="O85" i="5"/>
  <c r="G95" i="6"/>
  <c r="M99" i="6"/>
  <c r="P102" i="6"/>
  <c r="N102" i="6" s="1"/>
  <c r="N102" i="5"/>
  <c r="P75" i="5"/>
  <c r="H104" i="6"/>
  <c r="J105" i="6"/>
  <c r="L106" i="6"/>
  <c r="H110" i="6"/>
  <c r="E110" i="5"/>
  <c r="H83" i="5"/>
  <c r="H111" i="6"/>
  <c r="G50" i="5"/>
  <c r="K74" i="5"/>
  <c r="K79" i="5"/>
  <c r="F86" i="5"/>
  <c r="M88" i="5"/>
  <c r="Q93" i="5"/>
  <c r="J93" i="5"/>
  <c r="M93" i="5"/>
  <c r="O93" i="5"/>
  <c r="K93" i="5"/>
  <c r="J97" i="6"/>
  <c r="J98" i="6"/>
  <c r="N103" i="5"/>
  <c r="P82" i="5"/>
  <c r="F82" i="5"/>
  <c r="K82" i="5"/>
  <c r="J82" i="5"/>
  <c r="O82" i="5"/>
  <c r="M111" i="6"/>
  <c r="D121" i="5"/>
  <c r="E46" i="5"/>
  <c r="Q59" i="5"/>
  <c r="G69" i="5"/>
  <c r="K80" i="5"/>
  <c r="H85" i="5"/>
  <c r="O88" i="5"/>
  <c r="F69" i="5"/>
  <c r="O69" i="5"/>
  <c r="M69" i="5"/>
  <c r="O98" i="6"/>
  <c r="N98" i="5"/>
  <c r="Q99" i="6"/>
  <c r="J100" i="6"/>
  <c r="I100" i="5"/>
  <c r="J108" i="6"/>
  <c r="O111" i="6"/>
  <c r="N111" i="5"/>
  <c r="K114" i="6"/>
  <c r="H69" i="5"/>
  <c r="M76" i="5"/>
  <c r="Q76" i="5"/>
  <c r="G76" i="5"/>
  <c r="M80" i="5"/>
  <c r="F84" i="5"/>
  <c r="F98" i="6"/>
  <c r="E98" i="5"/>
  <c r="K100" i="6"/>
  <c r="K74" i="6" s="1"/>
  <c r="H102" i="6"/>
  <c r="L104" i="6"/>
  <c r="F106" i="6"/>
  <c r="E106" i="5"/>
  <c r="M110" i="6"/>
  <c r="M83" i="5"/>
  <c r="G113" i="6"/>
  <c r="H115" i="6"/>
  <c r="H93" i="6" s="1"/>
  <c r="P77" i="5"/>
  <c r="H77" i="5"/>
  <c r="O77" i="5"/>
  <c r="J86" i="5"/>
  <c r="J88" i="5"/>
  <c r="H88" i="5"/>
  <c r="O100" i="6"/>
  <c r="N100" i="5"/>
  <c r="F101" i="6"/>
  <c r="E101" i="5"/>
  <c r="P104" i="6"/>
  <c r="L80" i="5"/>
  <c r="Q80" i="5"/>
  <c r="M108" i="6"/>
  <c r="M84" i="6" s="1"/>
  <c r="L109" i="6"/>
  <c r="J113" i="6"/>
  <c r="I113" i="5"/>
  <c r="G74" i="5"/>
  <c r="Q74" i="5"/>
  <c r="H74" i="5"/>
  <c r="O79" i="5"/>
  <c r="G79" i="5"/>
  <c r="P79" i="5"/>
  <c r="F79" i="5"/>
  <c r="M79" i="5"/>
  <c r="J79" i="5"/>
  <c r="G93" i="5"/>
  <c r="P95" i="6"/>
  <c r="H96" i="6"/>
  <c r="P70" i="5"/>
  <c r="G70" i="5"/>
  <c r="F70" i="5"/>
  <c r="I97" i="5"/>
  <c r="P108" i="6"/>
  <c r="G111" i="6"/>
  <c r="G93" i="6"/>
  <c r="D117" i="5"/>
  <c r="K91" i="5"/>
  <c r="F95" i="6"/>
  <c r="K72" i="6"/>
  <c r="O72" i="5"/>
  <c r="J72" i="5"/>
  <c r="F105" i="6"/>
  <c r="L110" i="6"/>
  <c r="I110" i="5"/>
  <c r="H112" i="6"/>
  <c r="F113" i="6"/>
  <c r="F114" i="6"/>
  <c r="F92" i="6" s="1"/>
  <c r="D139" i="5"/>
  <c r="J68" i="6"/>
  <c r="L102" i="6"/>
  <c r="I102" i="6" s="1"/>
  <c r="I102" i="5"/>
  <c r="F77" i="5"/>
  <c r="M112" i="6"/>
  <c r="K113" i="6"/>
  <c r="L114" i="6"/>
  <c r="M91" i="5"/>
  <c r="O91" i="5"/>
  <c r="F91" i="5"/>
  <c r="J91" i="5"/>
  <c r="O95" i="6"/>
  <c r="G98" i="6"/>
  <c r="G72" i="6" s="1"/>
  <c r="P98" i="6"/>
  <c r="G79" i="6"/>
  <c r="O105" i="6"/>
  <c r="Q110" i="6"/>
  <c r="K84" i="5"/>
  <c r="J84" i="5"/>
  <c r="P112" i="6"/>
  <c r="J114" i="6"/>
  <c r="I114" i="5"/>
  <c r="P114" i="6"/>
  <c r="L93" i="5"/>
  <c r="Q88" i="5"/>
  <c r="D136" i="5"/>
  <c r="L98" i="6"/>
  <c r="J89" i="6"/>
  <c r="N113" i="5"/>
  <c r="E113" i="5"/>
  <c r="O89" i="5"/>
  <c r="G89" i="5"/>
  <c r="M89" i="5"/>
  <c r="M68" i="5"/>
  <c r="Q106" i="6"/>
  <c r="I110" i="6"/>
  <c r="J86" i="6"/>
  <c r="K86" i="6"/>
  <c r="F85" i="5"/>
  <c r="K85" i="5"/>
  <c r="D130" i="5"/>
  <c r="M75" i="5"/>
  <c r="L83" i="5"/>
  <c r="E102" i="6"/>
  <c r="E110" i="6"/>
  <c r="D110" i="6" s="1"/>
  <c r="G85" i="5"/>
  <c r="N106" i="6"/>
  <c r="G86" i="6"/>
  <c r="N110" i="6"/>
  <c r="O86" i="6"/>
  <c r="O92" i="5"/>
  <c r="L50" i="6"/>
  <c r="H59" i="6"/>
  <c r="Q69" i="6"/>
  <c r="Q75" i="6"/>
  <c r="P82" i="6"/>
  <c r="H82" i="6"/>
  <c r="D81" i="6"/>
  <c r="L82" i="6"/>
  <c r="K82" i="6"/>
  <c r="J82" i="6"/>
  <c r="M82" i="6"/>
  <c r="G82" i="6"/>
  <c r="F82" i="6"/>
  <c r="Q82" i="6"/>
  <c r="O82" i="6"/>
  <c r="M76" i="6"/>
  <c r="L79" i="6"/>
  <c r="K79" i="6"/>
  <c r="G84" i="6"/>
  <c r="J72" i="6"/>
  <c r="Q72" i="6"/>
  <c r="P72" i="6"/>
  <c r="H72" i="6"/>
  <c r="O72" i="6"/>
  <c r="F76" i="6"/>
  <c r="O77" i="6"/>
  <c r="H79" i="6"/>
  <c r="O80" i="6"/>
  <c r="F80" i="6"/>
  <c r="L68" i="6"/>
  <c r="O74" i="6"/>
  <c r="K75" i="6"/>
  <c r="G76" i="6"/>
  <c r="J84" i="6"/>
  <c r="H69" i="6"/>
  <c r="G69" i="6"/>
  <c r="F72" i="6"/>
  <c r="H76" i="6"/>
  <c r="L84" i="6"/>
  <c r="J70" i="6"/>
  <c r="L76" i="6"/>
  <c r="J80" i="6"/>
  <c r="H88" i="6"/>
  <c r="D78" i="6"/>
  <c r="P84" i="6"/>
  <c r="F75" i="6"/>
  <c r="P79" i="6"/>
  <c r="M88" i="6"/>
  <c r="O88" i="6"/>
  <c r="G88" i="6"/>
  <c r="Q91" i="6"/>
  <c r="D67" i="6"/>
  <c r="O68" i="6"/>
  <c r="M72" i="6"/>
  <c r="K76" i="6"/>
  <c r="J76" i="6"/>
  <c r="Q76" i="6"/>
  <c r="O76" i="6"/>
  <c r="M80" i="6"/>
  <c r="P92" i="6"/>
  <c r="H92" i="6"/>
  <c r="J92" i="6"/>
  <c r="M89" i="6"/>
  <c r="K91" i="6"/>
  <c r="K92" i="6"/>
  <c r="P86" i="6"/>
  <c r="O91" i="6"/>
  <c r="L92" i="6"/>
  <c r="P89" i="6"/>
  <c r="H89" i="6"/>
  <c r="O89" i="6"/>
  <c r="M92" i="6"/>
  <c r="D90" i="6"/>
  <c r="F91" i="6"/>
  <c r="J91" i="6"/>
  <c r="M93" i="6"/>
  <c r="L86" i="6"/>
  <c r="F86" i="6"/>
  <c r="J93" i="6"/>
  <c r="D128" i="6"/>
  <c r="D130" i="6"/>
  <c r="D117" i="6"/>
  <c r="E144" i="8"/>
  <c r="E53" i="10"/>
  <c r="E49" i="10"/>
  <c r="E83" i="7"/>
  <c r="E190" i="8"/>
  <c r="E90" i="7"/>
  <c r="D136" i="6"/>
  <c r="E30" i="7"/>
  <c r="E71" i="7"/>
  <c r="E43" i="10"/>
  <c r="E58" i="7"/>
  <c r="E40" i="7"/>
  <c r="D139" i="6"/>
  <c r="F13" i="9"/>
  <c r="E32" i="7"/>
  <c r="E62" i="7"/>
  <c r="E73" i="7"/>
  <c r="E18" i="9"/>
  <c r="E44" i="10"/>
  <c r="E47" i="10"/>
  <c r="E83" i="8"/>
  <c r="E72" i="7"/>
  <c r="E42" i="10"/>
  <c r="E18" i="7"/>
  <c r="E28" i="7"/>
  <c r="E51" i="10"/>
  <c r="E55" i="7"/>
  <c r="E43" i="7"/>
  <c r="E62" i="8"/>
  <c r="J29" i="3" l="1"/>
  <c r="Q29" i="3"/>
  <c r="Q25" i="3" s="1"/>
  <c r="F29" i="3"/>
  <c r="H29" i="3"/>
  <c r="N82" i="5"/>
  <c r="O81" i="5"/>
  <c r="N115" i="3"/>
  <c r="O114" i="3"/>
  <c r="J25" i="3"/>
  <c r="N92" i="5"/>
  <c r="I82" i="5"/>
  <c r="J81" i="5"/>
  <c r="N128" i="3"/>
  <c r="J114" i="3"/>
  <c r="N134" i="3"/>
  <c r="H25" i="3"/>
  <c r="E85" i="5"/>
  <c r="K81" i="5"/>
  <c r="F81" i="5"/>
  <c r="Q78" i="5"/>
  <c r="M67" i="5"/>
  <c r="D113" i="5"/>
  <c r="L24" i="5"/>
  <c r="L78" i="5"/>
  <c r="N69" i="5"/>
  <c r="E69" i="5"/>
  <c r="I126" i="3"/>
  <c r="E77" i="5"/>
  <c r="O71" i="5"/>
  <c r="O118" i="3"/>
  <c r="F25" i="3"/>
  <c r="N82" i="6"/>
  <c r="O81" i="6"/>
  <c r="L81" i="6"/>
  <c r="I60" i="6"/>
  <c r="J59" i="6"/>
  <c r="Q50" i="6"/>
  <c r="K53" i="6"/>
  <c r="G43" i="6"/>
  <c r="H43" i="6"/>
  <c r="N47" i="6"/>
  <c r="G53" i="6"/>
  <c r="N65" i="6"/>
  <c r="E45" i="6"/>
  <c r="I46" i="6"/>
  <c r="I58" i="6"/>
  <c r="G114" i="6"/>
  <c r="E114" i="5"/>
  <c r="D114" i="5" s="1"/>
  <c r="Q105" i="6"/>
  <c r="M39" i="6"/>
  <c r="E52" i="6"/>
  <c r="D52" i="6" s="1"/>
  <c r="F24" i="6"/>
  <c r="K105" i="6"/>
  <c r="F111" i="6"/>
  <c r="F89" i="5"/>
  <c r="E111" i="5"/>
  <c r="K108" i="6"/>
  <c r="L99" i="6"/>
  <c r="Q97" i="6"/>
  <c r="E79" i="5"/>
  <c r="H87" i="5"/>
  <c r="M101" i="6"/>
  <c r="O87" i="5"/>
  <c r="Q109" i="6"/>
  <c r="F103" i="6"/>
  <c r="E103" i="5"/>
  <c r="F76" i="5"/>
  <c r="I98" i="6"/>
  <c r="N75" i="5"/>
  <c r="N112" i="6"/>
  <c r="L100" i="6"/>
  <c r="P86" i="5"/>
  <c r="K62" i="5"/>
  <c r="E47" i="5"/>
  <c r="E64" i="5"/>
  <c r="J67" i="5"/>
  <c r="N68" i="5"/>
  <c r="M24" i="5"/>
  <c r="E58" i="5"/>
  <c r="L50" i="5"/>
  <c r="E41" i="5"/>
  <c r="I60" i="5"/>
  <c r="J59" i="5"/>
  <c r="H43" i="5"/>
  <c r="D46" i="5"/>
  <c r="N46" i="5"/>
  <c r="E158" i="3"/>
  <c r="M126" i="3"/>
  <c r="H133" i="3"/>
  <c r="H127" i="3"/>
  <c r="P130" i="3"/>
  <c r="P129" i="3"/>
  <c r="N159" i="3"/>
  <c r="M115" i="3"/>
  <c r="I65" i="3"/>
  <c r="I37" i="3"/>
  <c r="K15" i="3"/>
  <c r="P99" i="3"/>
  <c r="P119" i="3"/>
  <c r="P113" i="3"/>
  <c r="N181" i="3"/>
  <c r="N177" i="3"/>
  <c r="O125" i="3"/>
  <c r="N161" i="3"/>
  <c r="G115" i="3"/>
  <c r="D73" i="3"/>
  <c r="D57" i="3"/>
  <c r="N43" i="3"/>
  <c r="D15" i="2"/>
  <c r="G95" i="3"/>
  <c r="N136" i="3"/>
  <c r="E155" i="3"/>
  <c r="D56" i="3"/>
  <c r="E17" i="7"/>
  <c r="E82" i="7"/>
  <c r="E95" i="7"/>
  <c r="I92" i="6"/>
  <c r="N61" i="6"/>
  <c r="I49" i="6"/>
  <c r="D121" i="6"/>
  <c r="N55" i="6"/>
  <c r="G81" i="6"/>
  <c r="P81" i="6"/>
  <c r="E49" i="6"/>
  <c r="N64" i="6"/>
  <c r="Q62" i="6"/>
  <c r="Q53" i="6"/>
  <c r="M50" i="6"/>
  <c r="O59" i="6"/>
  <c r="N60" i="6"/>
  <c r="N56" i="6"/>
  <c r="G59" i="6"/>
  <c r="O24" i="6"/>
  <c r="N52" i="6"/>
  <c r="I45" i="6"/>
  <c r="D45" i="6" s="1"/>
  <c r="I61" i="6"/>
  <c r="J24" i="6"/>
  <c r="I52" i="6"/>
  <c r="N86" i="6"/>
  <c r="G105" i="6"/>
  <c r="E105" i="5"/>
  <c r="G39" i="6"/>
  <c r="E41" i="6"/>
  <c r="D41" i="6" s="1"/>
  <c r="E65" i="6"/>
  <c r="L113" i="6"/>
  <c r="L91" i="5"/>
  <c r="H105" i="6"/>
  <c r="O115" i="6"/>
  <c r="N115" i="5"/>
  <c r="P111" i="6"/>
  <c r="P89" i="5"/>
  <c r="N89" i="5" s="1"/>
  <c r="N95" i="6"/>
  <c r="F108" i="6"/>
  <c r="E108" i="5"/>
  <c r="E114" i="6"/>
  <c r="L97" i="6"/>
  <c r="P91" i="5"/>
  <c r="P78" i="5"/>
  <c r="J101" i="6"/>
  <c r="I101" i="5"/>
  <c r="D98" i="5"/>
  <c r="H86" i="5"/>
  <c r="M109" i="6"/>
  <c r="G103" i="6"/>
  <c r="I93" i="5"/>
  <c r="M59" i="5"/>
  <c r="F107" i="6"/>
  <c r="E107" i="5"/>
  <c r="F100" i="6"/>
  <c r="E100" i="5"/>
  <c r="F73" i="5"/>
  <c r="L86" i="5"/>
  <c r="F80" i="5"/>
  <c r="F62" i="5"/>
  <c r="E63" i="5"/>
  <c r="I92" i="5"/>
  <c r="G92" i="5"/>
  <c r="D66" i="5"/>
  <c r="K43" i="5"/>
  <c r="K59" i="5"/>
  <c r="N52" i="5"/>
  <c r="P59" i="5"/>
  <c r="I56" i="5"/>
  <c r="I48" i="5"/>
  <c r="L53" i="5"/>
  <c r="I49" i="5"/>
  <c r="I54" i="5"/>
  <c r="J53" i="5"/>
  <c r="H59" i="5"/>
  <c r="E45" i="5"/>
  <c r="N57" i="5"/>
  <c r="N158" i="3"/>
  <c r="E178" i="3"/>
  <c r="F126" i="3"/>
  <c r="F133" i="3"/>
  <c r="E185" i="3"/>
  <c r="Q127" i="3"/>
  <c r="G110" i="3"/>
  <c r="G108" i="3" s="1"/>
  <c r="E162" i="3"/>
  <c r="E156" i="3"/>
  <c r="D156" i="3" s="1"/>
  <c r="K129" i="3"/>
  <c r="E159" i="3"/>
  <c r="J137" i="3"/>
  <c r="N111" i="3"/>
  <c r="I58" i="3"/>
  <c r="L29" i="3"/>
  <c r="L12" i="3"/>
  <c r="I31" i="3"/>
  <c r="L141" i="3"/>
  <c r="I188" i="3"/>
  <c r="E184" i="3"/>
  <c r="D169" i="3"/>
  <c r="D90" i="3"/>
  <c r="D74" i="3"/>
  <c r="K134" i="3"/>
  <c r="Q113" i="3"/>
  <c r="J108" i="3"/>
  <c r="E152" i="3"/>
  <c r="H101" i="3"/>
  <c r="E34" i="3"/>
  <c r="D35" i="3"/>
  <c r="I175" i="3"/>
  <c r="I172" i="3"/>
  <c r="J120" i="3"/>
  <c r="L134" i="3"/>
  <c r="P107" i="3"/>
  <c r="E111" i="3"/>
  <c r="D71" i="3"/>
  <c r="D54" i="3"/>
  <c r="E29" i="9"/>
  <c r="I45" i="3"/>
  <c r="I158" i="3"/>
  <c r="D59" i="3"/>
  <c r="I104" i="3"/>
  <c r="K95" i="3"/>
  <c r="Q95" i="3"/>
  <c r="D88" i="3"/>
  <c r="E149" i="3"/>
  <c r="G136" i="3"/>
  <c r="I187" i="3"/>
  <c r="D82" i="3"/>
  <c r="M109" i="3"/>
  <c r="I98" i="3"/>
  <c r="E98" i="3"/>
  <c r="M73" i="6"/>
  <c r="L73" i="6"/>
  <c r="K73" i="6"/>
  <c r="H73" i="6"/>
  <c r="Q73" i="6"/>
  <c r="D49" i="6"/>
  <c r="N49" i="6"/>
  <c r="G50" i="6"/>
  <c r="I44" i="6"/>
  <c r="J43" i="6"/>
  <c r="N57" i="6"/>
  <c r="J62" i="6"/>
  <c r="I63" i="6"/>
  <c r="I57" i="6"/>
  <c r="Q112" i="6"/>
  <c r="Q85" i="5"/>
  <c r="Q95" i="6"/>
  <c r="F39" i="6"/>
  <c r="E40" i="6"/>
  <c r="N40" i="6"/>
  <c r="O39" i="6"/>
  <c r="L112" i="6"/>
  <c r="E42" i="6"/>
  <c r="E47" i="6"/>
  <c r="M113" i="6"/>
  <c r="P105" i="6"/>
  <c r="N105" i="6" s="1"/>
  <c r="N105" i="5"/>
  <c r="F115" i="6"/>
  <c r="E115" i="5"/>
  <c r="Q111" i="6"/>
  <c r="Q89" i="5"/>
  <c r="J90" i="5"/>
  <c r="I91" i="5"/>
  <c r="D116" i="5"/>
  <c r="H97" i="6"/>
  <c r="F88" i="5"/>
  <c r="J107" i="6"/>
  <c r="I107" i="5"/>
  <c r="M86" i="6"/>
  <c r="E84" i="5"/>
  <c r="N111" i="6"/>
  <c r="H101" i="6"/>
  <c r="N98" i="6"/>
  <c r="H109" i="6"/>
  <c r="P103" i="6"/>
  <c r="P76" i="6"/>
  <c r="L85" i="5"/>
  <c r="Q84" i="5"/>
  <c r="O101" i="6"/>
  <c r="N101" i="5"/>
  <c r="D101" i="5"/>
  <c r="P96" i="6"/>
  <c r="M86" i="5"/>
  <c r="M50" i="5"/>
  <c r="P76" i="5"/>
  <c r="L39" i="5"/>
  <c r="I40" i="5"/>
  <c r="K50" i="5"/>
  <c r="E52" i="5"/>
  <c r="F24" i="5"/>
  <c r="L72" i="5"/>
  <c r="I72" i="5" s="1"/>
  <c r="K39" i="5"/>
  <c r="I41" i="5"/>
  <c r="I65" i="5"/>
  <c r="G135" i="3"/>
  <c r="N51" i="5"/>
  <c r="O50" i="5"/>
  <c r="O59" i="5"/>
  <c r="N60" i="5"/>
  <c r="N178" i="3"/>
  <c r="O126" i="3"/>
  <c r="N189" i="3"/>
  <c r="O140" i="3"/>
  <c r="O143" i="3"/>
  <c r="O28" i="3" s="1"/>
  <c r="O141" i="3"/>
  <c r="O139" i="3"/>
  <c r="O137" i="3" s="1"/>
  <c r="O142" i="3"/>
  <c r="D163" i="3"/>
  <c r="D185" i="3"/>
  <c r="N185" i="3"/>
  <c r="O133" i="3"/>
  <c r="G127" i="3"/>
  <c r="Q110" i="3"/>
  <c r="N156" i="3"/>
  <c r="M129" i="3"/>
  <c r="N157" i="3"/>
  <c r="L122" i="3"/>
  <c r="E123" i="3"/>
  <c r="N94" i="3"/>
  <c r="O93" i="3"/>
  <c r="O14" i="3"/>
  <c r="O25" i="3"/>
  <c r="D190" i="3"/>
  <c r="E109" i="3"/>
  <c r="M99" i="3"/>
  <c r="Q123" i="3"/>
  <c r="I119" i="3"/>
  <c r="J118" i="3"/>
  <c r="I131" i="3"/>
  <c r="K94" i="3"/>
  <c r="L118" i="3"/>
  <c r="E172" i="3"/>
  <c r="H134" i="3"/>
  <c r="G119" i="3"/>
  <c r="Q107" i="3"/>
  <c r="P14" i="3"/>
  <c r="P93" i="3"/>
  <c r="E187" i="3"/>
  <c r="D150" i="3"/>
  <c r="I110" i="3"/>
  <c r="D79" i="3"/>
  <c r="N103" i="3"/>
  <c r="I84" i="3"/>
  <c r="E146" i="3"/>
  <c r="H95" i="3"/>
  <c r="Q136" i="3"/>
  <c r="I155" i="3"/>
  <c r="I147" i="3"/>
  <c r="D86" i="3"/>
  <c r="D11" i="3"/>
  <c r="M59" i="6"/>
  <c r="D116" i="6"/>
  <c r="N89" i="6"/>
  <c r="E60" i="6"/>
  <c r="F59" i="6"/>
  <c r="G62" i="6"/>
  <c r="E13" i="9"/>
  <c r="E40" i="10"/>
  <c r="E76" i="7"/>
  <c r="J90" i="6"/>
  <c r="L53" i="6"/>
  <c r="I64" i="6"/>
  <c r="J81" i="6"/>
  <c r="I82" i="6"/>
  <c r="Q59" i="6"/>
  <c r="K62" i="6"/>
  <c r="P43" i="6"/>
  <c r="N51" i="6"/>
  <c r="O50" i="6"/>
  <c r="M24" i="6"/>
  <c r="I55" i="6"/>
  <c r="I54" i="6"/>
  <c r="J53" i="6"/>
  <c r="G112" i="6"/>
  <c r="D102" i="6"/>
  <c r="H95" i="6"/>
  <c r="E95" i="6" s="1"/>
  <c r="E95" i="5"/>
  <c r="H39" i="6"/>
  <c r="L39" i="6"/>
  <c r="K112" i="6"/>
  <c r="I112" i="5"/>
  <c r="P59" i="6"/>
  <c r="E44" i="6"/>
  <c r="F43" i="6"/>
  <c r="F53" i="6"/>
  <c r="E54" i="6"/>
  <c r="H113" i="6"/>
  <c r="H91" i="5"/>
  <c r="P115" i="6"/>
  <c r="I114" i="6"/>
  <c r="L111" i="6"/>
  <c r="Q104" i="6"/>
  <c r="G99" i="6"/>
  <c r="G72" i="5"/>
  <c r="E105" i="6"/>
  <c r="J103" i="6"/>
  <c r="I103" i="5"/>
  <c r="P97" i="6"/>
  <c r="N79" i="5"/>
  <c r="O107" i="6"/>
  <c r="D107" i="5"/>
  <c r="N107" i="5"/>
  <c r="O80" i="5"/>
  <c r="O78" i="5" s="1"/>
  <c r="L88" i="5"/>
  <c r="G109" i="6"/>
  <c r="I83" i="5"/>
  <c r="I108" i="5"/>
  <c r="P101" i="6"/>
  <c r="P74" i="5"/>
  <c r="K96" i="6"/>
  <c r="K69" i="5"/>
  <c r="P109" i="6"/>
  <c r="H103" i="6"/>
  <c r="H76" i="5"/>
  <c r="H71" i="5" s="1"/>
  <c r="E42" i="5"/>
  <c r="M100" i="6"/>
  <c r="J80" i="5"/>
  <c r="H50" i="5"/>
  <c r="E40" i="5"/>
  <c r="F39" i="5"/>
  <c r="K53" i="5"/>
  <c r="M73" i="5"/>
  <c r="I105" i="5"/>
  <c r="Q24" i="5"/>
  <c r="Q70" i="5"/>
  <c r="P93" i="5"/>
  <c r="N56" i="5"/>
  <c r="I57" i="5"/>
  <c r="N187" i="3"/>
  <c r="D187" i="3"/>
  <c r="O135" i="3"/>
  <c r="I45" i="5"/>
  <c r="N42" i="5"/>
  <c r="N49" i="5"/>
  <c r="Q43" i="5"/>
  <c r="I178" i="3"/>
  <c r="G139" i="3"/>
  <c r="G143" i="3"/>
  <c r="G141" i="3"/>
  <c r="G142" i="3"/>
  <c r="G138" i="3"/>
  <c r="G140" i="3"/>
  <c r="D154" i="3"/>
  <c r="Q133" i="3"/>
  <c r="N179" i="3"/>
  <c r="O127" i="3"/>
  <c r="H110" i="3"/>
  <c r="Q104" i="3"/>
  <c r="N102" i="3"/>
  <c r="E34" i="9"/>
  <c r="E188" i="3"/>
  <c r="F99" i="3"/>
  <c r="L113" i="3"/>
  <c r="N130" i="3"/>
  <c r="G107" i="3"/>
  <c r="I152" i="3"/>
  <c r="N117" i="3"/>
  <c r="F107" i="3"/>
  <c r="P120" i="3"/>
  <c r="N172" i="3"/>
  <c r="L143" i="3"/>
  <c r="M94" i="3"/>
  <c r="E177" i="3"/>
  <c r="F125" i="3"/>
  <c r="I164" i="3"/>
  <c r="K123" i="3"/>
  <c r="I123" i="3" s="1"/>
  <c r="D70" i="3"/>
  <c r="D51" i="3"/>
  <c r="I124" i="3"/>
  <c r="M119" i="3"/>
  <c r="E65" i="3"/>
  <c r="E43" i="3"/>
  <c r="K29" i="3"/>
  <c r="E45" i="3"/>
  <c r="L95" i="3"/>
  <c r="N84" i="3"/>
  <c r="J136" i="3"/>
  <c r="N165" i="3"/>
  <c r="G14" i="3"/>
  <c r="D75" i="3"/>
  <c r="I40" i="3"/>
  <c r="L132" i="3"/>
  <c r="N98" i="3"/>
  <c r="P50" i="6"/>
  <c r="M87" i="6"/>
  <c r="P62" i="6"/>
  <c r="E68" i="7"/>
  <c r="N76" i="6"/>
  <c r="E72" i="6"/>
  <c r="E76" i="6"/>
  <c r="E41" i="7"/>
  <c r="E70" i="7"/>
  <c r="E185" i="8"/>
  <c r="E52" i="10"/>
  <c r="I76" i="6"/>
  <c r="H87" i="6"/>
  <c r="N72" i="6"/>
  <c r="K59" i="6"/>
  <c r="H62" i="6"/>
  <c r="E61" i="6"/>
  <c r="E51" i="6"/>
  <c r="F50" i="6"/>
  <c r="D44" i="6"/>
  <c r="N44" i="6"/>
  <c r="O43" i="6"/>
  <c r="K50" i="6"/>
  <c r="N42" i="6"/>
  <c r="I41" i="6"/>
  <c r="I65" i="6"/>
  <c r="K39" i="6"/>
  <c r="F112" i="6"/>
  <c r="E112" i="5"/>
  <c r="L105" i="6"/>
  <c r="I105" i="6" s="1"/>
  <c r="D105" i="6" s="1"/>
  <c r="E46" i="6"/>
  <c r="E58" i="6"/>
  <c r="P113" i="6"/>
  <c r="L72" i="6"/>
  <c r="I72" i="6" s="1"/>
  <c r="K115" i="6"/>
  <c r="E91" i="5"/>
  <c r="M104" i="6"/>
  <c r="P99" i="6"/>
  <c r="F68" i="6"/>
  <c r="K97" i="6"/>
  <c r="G107" i="6"/>
  <c r="G80" i="5"/>
  <c r="G78" i="5" s="1"/>
  <c r="I86" i="5"/>
  <c r="D106" i="5"/>
  <c r="N63" i="5"/>
  <c r="O62" i="5"/>
  <c r="I108" i="6"/>
  <c r="M96" i="6"/>
  <c r="I47" i="5"/>
  <c r="D47" i="5" s="1"/>
  <c r="O109" i="6"/>
  <c r="N109" i="5"/>
  <c r="M107" i="6"/>
  <c r="Q103" i="6"/>
  <c r="M87" i="5"/>
  <c r="N85" i="5"/>
  <c r="N84" i="5"/>
  <c r="E61" i="5"/>
  <c r="G100" i="6"/>
  <c r="P50" i="5"/>
  <c r="Q39" i="5"/>
  <c r="E92" i="5"/>
  <c r="F67" i="5"/>
  <c r="H68" i="5"/>
  <c r="E68" i="5" s="1"/>
  <c r="F53" i="5"/>
  <c r="E54" i="5"/>
  <c r="D54" i="5" s="1"/>
  <c r="D102" i="5"/>
  <c r="H70" i="5"/>
  <c r="E56" i="5"/>
  <c r="N48" i="5"/>
  <c r="L59" i="5"/>
  <c r="G82" i="5"/>
  <c r="Q82" i="5"/>
  <c r="J62" i="5"/>
  <c r="I63" i="5"/>
  <c r="L130" i="3"/>
  <c r="M43" i="5"/>
  <c r="N61" i="5"/>
  <c r="N55" i="5"/>
  <c r="J39" i="5"/>
  <c r="F140" i="3"/>
  <c r="F142" i="3"/>
  <c r="F141" i="3"/>
  <c r="E189" i="3"/>
  <c r="F143" i="3"/>
  <c r="F139" i="3"/>
  <c r="H124" i="3"/>
  <c r="P139" i="3"/>
  <c r="P143" i="3"/>
  <c r="P141" i="3"/>
  <c r="F138" i="3"/>
  <c r="I182" i="3"/>
  <c r="N176" i="3"/>
  <c r="O124" i="3"/>
  <c r="H116" i="3"/>
  <c r="E168" i="3"/>
  <c r="P110" i="3"/>
  <c r="P108" i="3" s="1"/>
  <c r="M116" i="3"/>
  <c r="I174" i="3"/>
  <c r="M137" i="3"/>
  <c r="L115" i="3"/>
  <c r="F118" i="3"/>
  <c r="E119" i="3"/>
  <c r="K101" i="3"/>
  <c r="N186" i="3"/>
  <c r="I184" i="3"/>
  <c r="Q114" i="3"/>
  <c r="Q96" i="3"/>
  <c r="N109" i="3"/>
  <c r="O108" i="3"/>
  <c r="G120" i="3"/>
  <c r="I165" i="3"/>
  <c r="K125" i="3"/>
  <c r="I161" i="3"/>
  <c r="P125" i="3"/>
  <c r="D67" i="3"/>
  <c r="D48" i="3"/>
  <c r="O104" i="3"/>
  <c r="K99" i="3"/>
  <c r="I68" i="3"/>
  <c r="M136" i="3"/>
  <c r="H136" i="3"/>
  <c r="G29" i="3"/>
  <c r="H132" i="3"/>
  <c r="L106" i="3"/>
  <c r="D77" i="3"/>
  <c r="O87" i="6"/>
  <c r="H53" i="6"/>
  <c r="F81" i="6"/>
  <c r="E82" i="6"/>
  <c r="M81" i="6"/>
  <c r="E65" i="7"/>
  <c r="E78" i="7"/>
  <c r="D71" i="6"/>
  <c r="K81" i="6"/>
  <c r="L59" i="6"/>
  <c r="L62" i="6"/>
  <c r="I51" i="6"/>
  <c r="J50" i="6"/>
  <c r="M43" i="6"/>
  <c r="N48" i="6"/>
  <c r="M53" i="6"/>
  <c r="K43" i="6"/>
  <c r="N45" i="6"/>
  <c r="I47" i="6"/>
  <c r="Q39" i="6"/>
  <c r="E55" i="6"/>
  <c r="K95" i="6"/>
  <c r="I95" i="5"/>
  <c r="Q115" i="6"/>
  <c r="Q86" i="6"/>
  <c r="Q81" i="6" s="1"/>
  <c r="O90" i="5"/>
  <c r="N91" i="5"/>
  <c r="Q108" i="6"/>
  <c r="O104" i="6"/>
  <c r="N104" i="5"/>
  <c r="J99" i="6"/>
  <c r="I99" i="5"/>
  <c r="K90" i="5"/>
  <c r="F97" i="6"/>
  <c r="E97" i="5"/>
  <c r="D97" i="5" s="1"/>
  <c r="M74" i="5"/>
  <c r="I113" i="6"/>
  <c r="H107" i="6"/>
  <c r="H80" i="5"/>
  <c r="I61" i="5"/>
  <c r="I100" i="6"/>
  <c r="J74" i="6"/>
  <c r="J96" i="6"/>
  <c r="I96" i="5"/>
  <c r="J109" i="6"/>
  <c r="I109" i="5"/>
  <c r="I106" i="6"/>
  <c r="M103" i="6"/>
  <c r="F93" i="5"/>
  <c r="F90" i="5" s="1"/>
  <c r="E86" i="5"/>
  <c r="D110" i="5"/>
  <c r="I85" i="5"/>
  <c r="E83" i="5"/>
  <c r="J50" i="5"/>
  <c r="I51" i="5"/>
  <c r="P100" i="6"/>
  <c r="I115" i="5"/>
  <c r="M39" i="5"/>
  <c r="I64" i="5"/>
  <c r="N103" i="6"/>
  <c r="L73" i="5"/>
  <c r="Q68" i="5"/>
  <c r="P62" i="5"/>
  <c r="P24" i="5"/>
  <c r="E57" i="5"/>
  <c r="P72" i="5"/>
  <c r="N72" i="5" s="1"/>
  <c r="P67" i="5"/>
  <c r="H82" i="5"/>
  <c r="I58" i="5"/>
  <c r="D58" i="5" s="1"/>
  <c r="H62" i="5"/>
  <c r="E182" i="3"/>
  <c r="N47" i="5"/>
  <c r="N54" i="5"/>
  <c r="O53" i="5"/>
  <c r="E180" i="3"/>
  <c r="M97" i="3"/>
  <c r="Q129" i="3"/>
  <c r="E176" i="3"/>
  <c r="P116" i="3"/>
  <c r="L112" i="3"/>
  <c r="I111" i="3"/>
  <c r="Q99" i="3"/>
  <c r="I52" i="3"/>
  <c r="I186" i="3"/>
  <c r="I105" i="3"/>
  <c r="I97" i="3"/>
  <c r="J96" i="3"/>
  <c r="D85" i="3"/>
  <c r="D60" i="3"/>
  <c r="N152" i="3"/>
  <c r="D152" i="3"/>
  <c r="O100" i="3"/>
  <c r="I146" i="3"/>
  <c r="J94" i="3"/>
  <c r="H128" i="3"/>
  <c r="Q120" i="3"/>
  <c r="G134" i="3"/>
  <c r="E147" i="3"/>
  <c r="H125" i="3"/>
  <c r="G96" i="3"/>
  <c r="D64" i="3"/>
  <c r="D46" i="3"/>
  <c r="E58" i="3"/>
  <c r="E40" i="3"/>
  <c r="E30" i="9"/>
  <c r="D31" i="3"/>
  <c r="E12" i="3"/>
  <c r="N95" i="3"/>
  <c r="N155" i="3"/>
  <c r="D155" i="3"/>
  <c r="Q132" i="3"/>
  <c r="P132" i="3"/>
  <c r="O106" i="3"/>
  <c r="D46" i="6"/>
  <c r="N46" i="6"/>
  <c r="L43" i="6"/>
  <c r="N58" i="6"/>
  <c r="D58" i="6"/>
  <c r="I42" i="6"/>
  <c r="I40" i="6"/>
  <c r="J39" i="6"/>
  <c r="E57" i="6"/>
  <c r="L115" i="6"/>
  <c r="I115" i="6" s="1"/>
  <c r="J111" i="6"/>
  <c r="I111" i="5"/>
  <c r="J89" i="5"/>
  <c r="J87" i="5" s="1"/>
  <c r="M90" i="5"/>
  <c r="H108" i="6"/>
  <c r="J104" i="6"/>
  <c r="I104" i="5"/>
  <c r="F99" i="6"/>
  <c r="F73" i="6" s="1"/>
  <c r="E99" i="5"/>
  <c r="G53" i="5"/>
  <c r="O97" i="6"/>
  <c r="N97" i="5"/>
  <c r="O70" i="5"/>
  <c r="J78" i="5"/>
  <c r="I79" i="5"/>
  <c r="Q107" i="6"/>
  <c r="N100" i="6"/>
  <c r="N77" i="5"/>
  <c r="E106" i="6"/>
  <c r="E49" i="5"/>
  <c r="L101" i="6"/>
  <c r="O96" i="6"/>
  <c r="N96" i="5"/>
  <c r="M62" i="5"/>
  <c r="K109" i="6"/>
  <c r="L103" i="6"/>
  <c r="L76" i="5"/>
  <c r="K78" i="5"/>
  <c r="H86" i="6"/>
  <c r="G68" i="6"/>
  <c r="L84" i="5"/>
  <c r="H100" i="6"/>
  <c r="K70" i="5"/>
  <c r="H39" i="5"/>
  <c r="P83" i="6"/>
  <c r="E51" i="5"/>
  <c r="F50" i="5"/>
  <c r="Q77" i="5"/>
  <c r="G73" i="5"/>
  <c r="K68" i="5"/>
  <c r="I68" i="5" s="1"/>
  <c r="L74" i="5"/>
  <c r="E55" i="5"/>
  <c r="K24" i="5"/>
  <c r="E60" i="5"/>
  <c r="F59" i="5"/>
  <c r="F72" i="5"/>
  <c r="M53" i="5"/>
  <c r="E48" i="5"/>
  <c r="P53" i="5"/>
  <c r="L81" i="5"/>
  <c r="J43" i="5"/>
  <c r="I44" i="5"/>
  <c r="L43" i="5"/>
  <c r="N58" i="5"/>
  <c r="N65" i="5"/>
  <c r="N180" i="3"/>
  <c r="L107" i="3"/>
  <c r="N45" i="5"/>
  <c r="K143" i="3"/>
  <c r="K141" i="3"/>
  <c r="K140" i="3"/>
  <c r="K139" i="3"/>
  <c r="K138" i="3"/>
  <c r="I189" i="3"/>
  <c r="E181" i="3"/>
  <c r="F129" i="3"/>
  <c r="D164" i="3"/>
  <c r="P105" i="3"/>
  <c r="P101" i="3" s="1"/>
  <c r="M110" i="3"/>
  <c r="H137" i="3"/>
  <c r="N182" i="3"/>
  <c r="N167" i="3"/>
  <c r="G99" i="3"/>
  <c r="N68" i="3"/>
  <c r="E84" i="3"/>
  <c r="D55" i="3"/>
  <c r="L135" i="3"/>
  <c r="N113" i="3"/>
  <c r="D19" i="3"/>
  <c r="E134" i="3"/>
  <c r="M104" i="3"/>
  <c r="H94" i="3"/>
  <c r="H120" i="3"/>
  <c r="Q134" i="3"/>
  <c r="N129" i="3"/>
  <c r="L109" i="3"/>
  <c r="I109" i="3" s="1"/>
  <c r="Q125" i="3"/>
  <c r="G93" i="3"/>
  <c r="D45" i="3"/>
  <c r="N45" i="3"/>
  <c r="J100" i="3"/>
  <c r="D53" i="3"/>
  <c r="M113" i="3"/>
  <c r="E186" i="3"/>
  <c r="D62" i="3"/>
  <c r="E117" i="3"/>
  <c r="F95" i="3"/>
  <c r="L136" i="3"/>
  <c r="M29" i="3"/>
  <c r="N184" i="3"/>
  <c r="K115" i="3"/>
  <c r="I115" i="3" s="1"/>
  <c r="G106" i="3"/>
  <c r="M62" i="6"/>
  <c r="E64" i="6"/>
  <c r="N63" i="6"/>
  <c r="O62" i="6"/>
  <c r="E63" i="6"/>
  <c r="F62" i="6"/>
  <c r="H50" i="6"/>
  <c r="E56" i="6"/>
  <c r="Q43" i="6"/>
  <c r="I56" i="6"/>
  <c r="N54" i="6"/>
  <c r="D54" i="6"/>
  <c r="O53" i="6"/>
  <c r="N41" i="6"/>
  <c r="I48" i="6"/>
  <c r="O114" i="6"/>
  <c r="N114" i="5"/>
  <c r="P39" i="6"/>
  <c r="I86" i="6"/>
  <c r="M95" i="6"/>
  <c r="P53" i="6"/>
  <c r="E48" i="6"/>
  <c r="K111" i="6"/>
  <c r="K89" i="5"/>
  <c r="O108" i="6"/>
  <c r="N108" i="5"/>
  <c r="D108" i="5"/>
  <c r="F104" i="6"/>
  <c r="E104" i="5"/>
  <c r="L89" i="5"/>
  <c r="O99" i="6"/>
  <c r="D99" i="5"/>
  <c r="N99" i="5"/>
  <c r="G97" i="6"/>
  <c r="P68" i="6"/>
  <c r="N68" i="6" s="1"/>
  <c r="M78" i="5"/>
  <c r="L85" i="6"/>
  <c r="L107" i="6"/>
  <c r="P88" i="5"/>
  <c r="J77" i="5"/>
  <c r="G91" i="6"/>
  <c r="E98" i="6"/>
  <c r="J76" i="5"/>
  <c r="G101" i="6"/>
  <c r="F96" i="6"/>
  <c r="E96" i="5"/>
  <c r="F109" i="6"/>
  <c r="E109" i="5"/>
  <c r="K103" i="6"/>
  <c r="K76" i="5"/>
  <c r="N93" i="5"/>
  <c r="M77" i="5"/>
  <c r="K107" i="6"/>
  <c r="K88" i="5"/>
  <c r="I74" i="5"/>
  <c r="Q100" i="6"/>
  <c r="G87" i="5"/>
  <c r="E74" i="5"/>
  <c r="L70" i="5"/>
  <c r="P39" i="5"/>
  <c r="N39" i="5" s="1"/>
  <c r="Q90" i="5"/>
  <c r="D64" i="5"/>
  <c r="N64" i="5"/>
  <c r="Q73" i="5"/>
  <c r="N73" i="5"/>
  <c r="G67" i="5"/>
  <c r="J24" i="5"/>
  <c r="I52" i="5"/>
  <c r="E65" i="5"/>
  <c r="Q71" i="5"/>
  <c r="D41" i="5"/>
  <c r="N41" i="5"/>
  <c r="L62" i="5"/>
  <c r="M82" i="5"/>
  <c r="H53" i="5"/>
  <c r="I55" i="5"/>
  <c r="F43" i="5"/>
  <c r="G43" i="5"/>
  <c r="O43" i="5"/>
  <c r="D44" i="5"/>
  <c r="N44" i="5"/>
  <c r="I42" i="5"/>
  <c r="I180" i="3"/>
  <c r="J128" i="3"/>
  <c r="J121" i="3" s="1"/>
  <c r="I159" i="3"/>
  <c r="P97" i="3"/>
  <c r="N97" i="3" s="1"/>
  <c r="F127" i="3"/>
  <c r="E179" i="3"/>
  <c r="E157" i="3"/>
  <c r="F105" i="3"/>
  <c r="H130" i="3"/>
  <c r="L142" i="3"/>
  <c r="L138" i="3"/>
  <c r="N171" i="3"/>
  <c r="D171" i="3"/>
  <c r="P138" i="3"/>
  <c r="I181" i="3"/>
  <c r="I167" i="3"/>
  <c r="K108" i="3"/>
  <c r="O96" i="3"/>
  <c r="E68" i="3"/>
  <c r="I116" i="3"/>
  <c r="L101" i="3"/>
  <c r="L93" i="3"/>
  <c r="L14" i="3"/>
  <c r="D49" i="3"/>
  <c r="E165" i="3"/>
  <c r="F113" i="3"/>
  <c r="N123" i="3"/>
  <c r="H118" i="3"/>
  <c r="P43" i="5"/>
  <c r="I133" i="3"/>
  <c r="H113" i="3"/>
  <c r="I130" i="3"/>
  <c r="I117" i="3"/>
  <c r="F104" i="3"/>
  <c r="D92" i="3"/>
  <c r="M134" i="3"/>
  <c r="K120" i="3"/>
  <c r="N107" i="3"/>
  <c r="M101" i="3"/>
  <c r="G125" i="3"/>
  <c r="D76" i="3"/>
  <c r="M123" i="3"/>
  <c r="I103" i="3"/>
  <c r="Q94" i="3"/>
  <c r="D36" i="3"/>
  <c r="H97" i="3"/>
  <c r="F136" i="3"/>
  <c r="N58" i="3"/>
  <c r="P29" i="3"/>
  <c r="N29" i="3" s="1"/>
  <c r="G132" i="3"/>
  <c r="J101" i="3"/>
  <c r="O38" i="5" l="1"/>
  <c r="E82" i="5"/>
  <c r="I97" i="6"/>
  <c r="J71" i="5"/>
  <c r="I138" i="3"/>
  <c r="F121" i="3"/>
  <c r="E37" i="9"/>
  <c r="N78" i="5"/>
  <c r="H96" i="3"/>
  <c r="E97" i="3"/>
  <c r="E130" i="3"/>
  <c r="D165" i="3"/>
  <c r="P137" i="3"/>
  <c r="E43" i="5"/>
  <c r="Q74" i="6"/>
  <c r="K83" i="6"/>
  <c r="G75" i="6"/>
  <c r="I77" i="5"/>
  <c r="E95" i="3"/>
  <c r="H108" i="3"/>
  <c r="D180" i="3"/>
  <c r="H38" i="5"/>
  <c r="L75" i="6"/>
  <c r="I78" i="5"/>
  <c r="N106" i="3"/>
  <c r="D58" i="3"/>
  <c r="I96" i="3"/>
  <c r="N116" i="3"/>
  <c r="M77" i="6"/>
  <c r="I99" i="6"/>
  <c r="I95" i="6"/>
  <c r="K68" i="6"/>
  <c r="D186" i="3"/>
  <c r="L114" i="3"/>
  <c r="N110" i="3"/>
  <c r="E139" i="3"/>
  <c r="M79" i="6"/>
  <c r="N132" i="3"/>
  <c r="M93" i="3"/>
  <c r="M14" i="3"/>
  <c r="M28" i="3"/>
  <c r="G137" i="3"/>
  <c r="D49" i="5"/>
  <c r="P70" i="6"/>
  <c r="G71" i="5"/>
  <c r="G89" i="6"/>
  <c r="I81" i="6"/>
  <c r="I95" i="3"/>
  <c r="P28" i="3"/>
  <c r="D172" i="3"/>
  <c r="D60" i="5"/>
  <c r="E39" i="6"/>
  <c r="F38" i="6"/>
  <c r="I120" i="3"/>
  <c r="I12" i="3"/>
  <c r="E104" i="3"/>
  <c r="E133" i="3"/>
  <c r="O24" i="5"/>
  <c r="G90" i="5"/>
  <c r="E62" i="5"/>
  <c r="E100" i="6"/>
  <c r="F74" i="6"/>
  <c r="H80" i="6"/>
  <c r="D56" i="6"/>
  <c r="D60" i="6"/>
  <c r="D61" i="6"/>
  <c r="Q108" i="3"/>
  <c r="I59" i="5"/>
  <c r="J66" i="5"/>
  <c r="Q85" i="6"/>
  <c r="Q70" i="6"/>
  <c r="E89" i="5"/>
  <c r="Q80" i="6"/>
  <c r="Q93" i="3"/>
  <c r="Q14" i="3"/>
  <c r="Q28" i="3"/>
  <c r="E105" i="3"/>
  <c r="E109" i="6"/>
  <c r="F85" i="6"/>
  <c r="P87" i="5"/>
  <c r="N87" i="5" s="1"/>
  <c r="N99" i="6"/>
  <c r="N108" i="6"/>
  <c r="O84" i="6"/>
  <c r="M68" i="6"/>
  <c r="M25" i="3"/>
  <c r="H121" i="3"/>
  <c r="D167" i="3"/>
  <c r="I140" i="3"/>
  <c r="E50" i="5"/>
  <c r="H84" i="6"/>
  <c r="L93" i="6"/>
  <c r="I39" i="6"/>
  <c r="D39" i="6" s="1"/>
  <c r="J38" i="6"/>
  <c r="G121" i="3"/>
  <c r="D52" i="3"/>
  <c r="N53" i="5"/>
  <c r="D66" i="6"/>
  <c r="N104" i="3"/>
  <c r="D168" i="3"/>
  <c r="E138" i="3"/>
  <c r="F137" i="3"/>
  <c r="E143" i="3"/>
  <c r="F28" i="3"/>
  <c r="I62" i="5"/>
  <c r="D62" i="5" s="1"/>
  <c r="D48" i="5"/>
  <c r="H67" i="5"/>
  <c r="N109" i="6"/>
  <c r="O85" i="6"/>
  <c r="P91" i="6"/>
  <c r="E50" i="6"/>
  <c r="I136" i="3"/>
  <c r="K25" i="3"/>
  <c r="I25" i="3" s="1"/>
  <c r="M71" i="5"/>
  <c r="M74" i="6"/>
  <c r="E53" i="6"/>
  <c r="I113" i="3"/>
  <c r="N142" i="3"/>
  <c r="N59" i="5"/>
  <c r="N101" i="6"/>
  <c r="O75" i="6"/>
  <c r="D98" i="6"/>
  <c r="E88" i="5"/>
  <c r="F87" i="5"/>
  <c r="P80" i="6"/>
  <c r="O38" i="6"/>
  <c r="N39" i="6"/>
  <c r="I43" i="6"/>
  <c r="D57" i="5"/>
  <c r="L90" i="5"/>
  <c r="G80" i="6"/>
  <c r="E94" i="7"/>
  <c r="D11" i="2"/>
  <c r="G114" i="3"/>
  <c r="E115" i="3"/>
  <c r="N125" i="3"/>
  <c r="N105" i="3"/>
  <c r="I101" i="3"/>
  <c r="E136" i="3"/>
  <c r="D18" i="3"/>
  <c r="I128" i="3"/>
  <c r="N43" i="5"/>
  <c r="N114" i="6"/>
  <c r="D114" i="6"/>
  <c r="O92" i="6"/>
  <c r="E62" i="6"/>
  <c r="D21" i="3"/>
  <c r="H93" i="3"/>
  <c r="H14" i="3"/>
  <c r="H28" i="3"/>
  <c r="E72" i="5"/>
  <c r="F71" i="5"/>
  <c r="N70" i="5"/>
  <c r="D147" i="3"/>
  <c r="P74" i="6"/>
  <c r="I96" i="6"/>
  <c r="J69" i="6"/>
  <c r="D104" i="5"/>
  <c r="E116" i="3"/>
  <c r="D55" i="5"/>
  <c r="N62" i="5"/>
  <c r="G24" i="5"/>
  <c r="K38" i="6"/>
  <c r="N137" i="3"/>
  <c r="E39" i="5"/>
  <c r="F38" i="5"/>
  <c r="K69" i="6"/>
  <c r="P93" i="6"/>
  <c r="H38" i="6"/>
  <c r="I53" i="6"/>
  <c r="D146" i="3"/>
  <c r="N139" i="3"/>
  <c r="N126" i="3"/>
  <c r="N50" i="5"/>
  <c r="Q68" i="6"/>
  <c r="G73" i="6"/>
  <c r="E135" i="3"/>
  <c r="L25" i="3"/>
  <c r="D162" i="3"/>
  <c r="E126" i="3"/>
  <c r="D52" i="5"/>
  <c r="G77" i="6"/>
  <c r="P88" i="6"/>
  <c r="D177" i="3"/>
  <c r="I15" i="3"/>
  <c r="D37" i="3"/>
  <c r="E111" i="6"/>
  <c r="F88" i="6"/>
  <c r="D65" i="6"/>
  <c r="I24" i="5"/>
  <c r="P38" i="5"/>
  <c r="I76" i="5"/>
  <c r="L83" i="6"/>
  <c r="J99" i="3"/>
  <c r="I100" i="3"/>
  <c r="L108" i="3"/>
  <c r="D68" i="3"/>
  <c r="E129" i="3"/>
  <c r="I143" i="3"/>
  <c r="L77" i="6"/>
  <c r="D96" i="5"/>
  <c r="D17" i="3"/>
  <c r="J93" i="3"/>
  <c r="J14" i="3"/>
  <c r="I94" i="3"/>
  <c r="J28" i="3"/>
  <c r="M38" i="5"/>
  <c r="H78" i="5"/>
  <c r="E97" i="6"/>
  <c r="F70" i="6"/>
  <c r="H81" i="6"/>
  <c r="G101" i="3"/>
  <c r="F93" i="3"/>
  <c r="P121" i="3"/>
  <c r="E141" i="3"/>
  <c r="Q81" i="5"/>
  <c r="Q77" i="6"/>
  <c r="D63" i="5"/>
  <c r="L80" i="6"/>
  <c r="D84" i="3"/>
  <c r="K121" i="3"/>
  <c r="E99" i="3"/>
  <c r="O101" i="3"/>
  <c r="N127" i="3"/>
  <c r="N138" i="3"/>
  <c r="D40" i="5"/>
  <c r="G85" i="6"/>
  <c r="N107" i="6"/>
  <c r="O83" i="6"/>
  <c r="I103" i="6"/>
  <c r="J77" i="6"/>
  <c r="H90" i="5"/>
  <c r="D95" i="5"/>
  <c r="N50" i="6"/>
  <c r="M121" i="3"/>
  <c r="N133" i="3"/>
  <c r="N141" i="3"/>
  <c r="D51" i="5"/>
  <c r="L67" i="5"/>
  <c r="P77" i="6"/>
  <c r="H70" i="6"/>
  <c r="Q88" i="6"/>
  <c r="M91" i="6"/>
  <c r="J73" i="6"/>
  <c r="E28" i="9"/>
  <c r="D175" i="3"/>
  <c r="L28" i="3"/>
  <c r="E110" i="3"/>
  <c r="E80" i="5"/>
  <c r="E107" i="6"/>
  <c r="F83" i="6"/>
  <c r="I101" i="6"/>
  <c r="J75" i="6"/>
  <c r="P90" i="5"/>
  <c r="L91" i="6"/>
  <c r="E29" i="7"/>
  <c r="E27" i="7"/>
  <c r="I125" i="3"/>
  <c r="P118" i="3"/>
  <c r="E76" i="5"/>
  <c r="G92" i="6"/>
  <c r="D47" i="6"/>
  <c r="D22" i="3"/>
  <c r="N74" i="5"/>
  <c r="I107" i="3"/>
  <c r="L137" i="3"/>
  <c r="E127" i="3"/>
  <c r="G38" i="5"/>
  <c r="E59" i="5"/>
  <c r="E99" i="6"/>
  <c r="I89" i="5"/>
  <c r="M96" i="3"/>
  <c r="D182" i="3"/>
  <c r="H81" i="5"/>
  <c r="I70" i="5"/>
  <c r="I109" i="6"/>
  <c r="J85" i="6"/>
  <c r="N104" i="6"/>
  <c r="O79" i="6"/>
  <c r="Q38" i="6"/>
  <c r="D48" i="6"/>
  <c r="G25" i="3"/>
  <c r="E94" i="3"/>
  <c r="N124" i="3"/>
  <c r="E142" i="3"/>
  <c r="D61" i="5"/>
  <c r="G81" i="5"/>
  <c r="G66" i="5" s="1"/>
  <c r="E53" i="5"/>
  <c r="E67" i="5"/>
  <c r="Q38" i="5"/>
  <c r="G74" i="6"/>
  <c r="G83" i="6"/>
  <c r="D112" i="5"/>
  <c r="N43" i="6"/>
  <c r="E86" i="6"/>
  <c r="I135" i="3"/>
  <c r="N120" i="3"/>
  <c r="I80" i="5"/>
  <c r="L87" i="5"/>
  <c r="Q79" i="6"/>
  <c r="E43" i="6"/>
  <c r="I112" i="6"/>
  <c r="K89" i="6"/>
  <c r="G118" i="3"/>
  <c r="E118" i="3" s="1"/>
  <c r="L121" i="3"/>
  <c r="I122" i="3"/>
  <c r="D178" i="3"/>
  <c r="L71" i="5"/>
  <c r="H75" i="6"/>
  <c r="D40" i="6"/>
  <c r="I62" i="6"/>
  <c r="D62" i="6" s="1"/>
  <c r="D149" i="3"/>
  <c r="Q118" i="3"/>
  <c r="D184" i="3"/>
  <c r="D159" i="3"/>
  <c r="E107" i="3"/>
  <c r="I53" i="5"/>
  <c r="M85" i="6"/>
  <c r="E108" i="6"/>
  <c r="F84" i="6"/>
  <c r="D55" i="6"/>
  <c r="D43" i="3"/>
  <c r="E106" i="3"/>
  <c r="K71" i="5"/>
  <c r="D103" i="5"/>
  <c r="K84" i="6"/>
  <c r="K80" i="6"/>
  <c r="M38" i="6"/>
  <c r="N119" i="3"/>
  <c r="G28" i="3"/>
  <c r="I84" i="5"/>
  <c r="O121" i="3"/>
  <c r="O92" i="3" s="1"/>
  <c r="I29" i="3"/>
  <c r="E128" i="3"/>
  <c r="G70" i="6"/>
  <c r="G67" i="6" s="1"/>
  <c r="E104" i="6"/>
  <c r="F79" i="6"/>
  <c r="D181" i="3"/>
  <c r="D65" i="5"/>
  <c r="I43" i="5"/>
  <c r="K67" i="5"/>
  <c r="K85" i="6"/>
  <c r="I50" i="5"/>
  <c r="H83" i="6"/>
  <c r="Q93" i="6"/>
  <c r="I50" i="6"/>
  <c r="E81" i="6"/>
  <c r="I141" i="3"/>
  <c r="I142" i="3"/>
  <c r="M83" i="6"/>
  <c r="K93" i="6"/>
  <c r="I106" i="3"/>
  <c r="D65" i="3"/>
  <c r="E125" i="3"/>
  <c r="P114" i="3"/>
  <c r="D179" i="3"/>
  <c r="D42" i="5"/>
  <c r="N135" i="3"/>
  <c r="N113" i="6"/>
  <c r="H77" i="6"/>
  <c r="P75" i="6"/>
  <c r="E101" i="6"/>
  <c r="H91" i="6"/>
  <c r="E91" i="6" s="1"/>
  <c r="L38" i="6"/>
  <c r="H68" i="6"/>
  <c r="N143" i="3"/>
  <c r="K38" i="5"/>
  <c r="N76" i="5"/>
  <c r="P69" i="6"/>
  <c r="H85" i="6"/>
  <c r="Q89" i="6"/>
  <c r="O73" i="6"/>
  <c r="E96" i="3"/>
  <c r="D14" i="3"/>
  <c r="E100" i="3"/>
  <c r="I73" i="5"/>
  <c r="E73" i="5"/>
  <c r="L70" i="6"/>
  <c r="D115" i="5"/>
  <c r="G38" i="6"/>
  <c r="D64" i="6"/>
  <c r="D161" i="3"/>
  <c r="N86" i="5"/>
  <c r="N88" i="5"/>
  <c r="E29" i="3"/>
  <c r="N118" i="3"/>
  <c r="P81" i="5"/>
  <c r="Q87" i="5"/>
  <c r="I134" i="3"/>
  <c r="P96" i="3"/>
  <c r="K87" i="5"/>
  <c r="K77" i="6"/>
  <c r="E96" i="6"/>
  <c r="F69" i="6"/>
  <c r="F67" i="6" s="1"/>
  <c r="G90" i="6"/>
  <c r="P38" i="6"/>
  <c r="N53" i="6"/>
  <c r="N62" i="6"/>
  <c r="D16" i="3"/>
  <c r="N96" i="6"/>
  <c r="D96" i="6"/>
  <c r="O69" i="6"/>
  <c r="D106" i="6"/>
  <c r="Q83" i="6"/>
  <c r="N97" i="6"/>
  <c r="O70" i="6"/>
  <c r="D12" i="3"/>
  <c r="D40" i="3"/>
  <c r="I112" i="3"/>
  <c r="P71" i="5"/>
  <c r="N71" i="5" s="1"/>
  <c r="E93" i="5"/>
  <c r="Q84" i="6"/>
  <c r="D174" i="3"/>
  <c r="E140" i="3"/>
  <c r="H24" i="5"/>
  <c r="M69" i="6"/>
  <c r="K70" i="6"/>
  <c r="E112" i="6"/>
  <c r="F89" i="6"/>
  <c r="D42" i="6"/>
  <c r="E53" i="7"/>
  <c r="M118" i="3"/>
  <c r="D56" i="5"/>
  <c r="I69" i="5"/>
  <c r="E113" i="6"/>
  <c r="L88" i="6"/>
  <c r="D51" i="6"/>
  <c r="E36" i="10"/>
  <c r="E59" i="6"/>
  <c r="D59" i="6" s="1"/>
  <c r="K93" i="3"/>
  <c r="K14" i="3"/>
  <c r="K28" i="3"/>
  <c r="H114" i="3"/>
  <c r="N14" i="3"/>
  <c r="N140" i="3"/>
  <c r="L38" i="5"/>
  <c r="I107" i="6"/>
  <c r="J83" i="6"/>
  <c r="E115" i="6"/>
  <c r="F93" i="6"/>
  <c r="D57" i="6"/>
  <c r="P73" i="6"/>
  <c r="D34" i="3"/>
  <c r="I129" i="3"/>
  <c r="D45" i="5"/>
  <c r="I88" i="5"/>
  <c r="K71" i="6"/>
  <c r="N115" i="6"/>
  <c r="O93" i="6"/>
  <c r="E103" i="3"/>
  <c r="F101" i="3"/>
  <c r="I139" i="3"/>
  <c r="E103" i="6"/>
  <c r="F77" i="6"/>
  <c r="F78" i="5"/>
  <c r="I59" i="6"/>
  <c r="E120" i="3"/>
  <c r="I132" i="3"/>
  <c r="E70" i="5"/>
  <c r="N81" i="5"/>
  <c r="P25" i="3"/>
  <c r="N25" i="3" s="1"/>
  <c r="E113" i="3"/>
  <c r="F108" i="3"/>
  <c r="N96" i="3"/>
  <c r="M81" i="5"/>
  <c r="K88" i="6"/>
  <c r="D63" i="6"/>
  <c r="K114" i="3"/>
  <c r="I114" i="3" s="1"/>
  <c r="K137" i="3"/>
  <c r="H74" i="6"/>
  <c r="I104" i="6"/>
  <c r="J79" i="6"/>
  <c r="I111" i="6"/>
  <c r="J88" i="6"/>
  <c r="K118" i="3"/>
  <c r="N100" i="3"/>
  <c r="O99" i="3"/>
  <c r="Q67" i="5"/>
  <c r="N108" i="3"/>
  <c r="D176" i="3"/>
  <c r="E124" i="3"/>
  <c r="I39" i="5"/>
  <c r="J38" i="5"/>
  <c r="D109" i="5"/>
  <c r="E68" i="6"/>
  <c r="D188" i="3"/>
  <c r="Q101" i="3"/>
  <c r="P85" i="6"/>
  <c r="N80" i="5"/>
  <c r="Q121" i="3"/>
  <c r="N93" i="3"/>
  <c r="D157" i="3"/>
  <c r="D189" i="3"/>
  <c r="I90" i="5"/>
  <c r="L89" i="6"/>
  <c r="M108" i="3"/>
  <c r="I108" i="3"/>
  <c r="D158" i="3"/>
  <c r="D100" i="5"/>
  <c r="D95" i="6"/>
  <c r="D105" i="5"/>
  <c r="N59" i="6"/>
  <c r="M114" i="3"/>
  <c r="O67" i="5"/>
  <c r="L74" i="6"/>
  <c r="L71" i="6" s="1"/>
  <c r="M75" i="6"/>
  <c r="D111" i="5"/>
  <c r="N81" i="6"/>
  <c r="E132" i="3"/>
  <c r="I81" i="5"/>
  <c r="I67" i="5" l="1"/>
  <c r="E81" i="5"/>
  <c r="G92" i="3"/>
  <c r="G26" i="3"/>
  <c r="H71" i="6"/>
  <c r="E108" i="3"/>
  <c r="E78" i="5"/>
  <c r="D13" i="3"/>
  <c r="N70" i="6"/>
  <c r="N69" i="6"/>
  <c r="O67" i="6"/>
  <c r="E69" i="6"/>
  <c r="D29" i="3"/>
  <c r="F66" i="5"/>
  <c r="I75" i="6"/>
  <c r="I73" i="6"/>
  <c r="J71" i="6"/>
  <c r="I77" i="6"/>
  <c r="L24" i="6"/>
  <c r="L78" i="6"/>
  <c r="I14" i="3"/>
  <c r="M66" i="5"/>
  <c r="Q67" i="6"/>
  <c r="E11" i="10"/>
  <c r="D101" i="6"/>
  <c r="D109" i="6"/>
  <c r="D99" i="6"/>
  <c r="N114" i="3"/>
  <c r="N92" i="6"/>
  <c r="O90" i="6"/>
  <c r="P71" i="6"/>
  <c r="E54" i="7"/>
  <c r="E74" i="7"/>
  <c r="I70" i="6"/>
  <c r="D53" i="6"/>
  <c r="L67" i="6"/>
  <c r="Q90" i="6"/>
  <c r="E79" i="6"/>
  <c r="F78" i="6"/>
  <c r="I118" i="3"/>
  <c r="Q78" i="6"/>
  <c r="E67" i="7"/>
  <c r="N77" i="6"/>
  <c r="D50" i="6"/>
  <c r="I69" i="6"/>
  <c r="J67" i="6"/>
  <c r="H92" i="3"/>
  <c r="E114" i="3"/>
  <c r="E87" i="5"/>
  <c r="H66" i="5"/>
  <c r="M67" i="6"/>
  <c r="Q24" i="6"/>
  <c r="M92" i="3"/>
  <c r="E75" i="6"/>
  <c r="K87" i="6"/>
  <c r="E25" i="3"/>
  <c r="M71" i="6"/>
  <c r="J87" i="6"/>
  <c r="I88" i="6"/>
  <c r="D103" i="6"/>
  <c r="L87" i="6"/>
  <c r="H90" i="6"/>
  <c r="E92" i="6"/>
  <c r="E69" i="7"/>
  <c r="N101" i="3"/>
  <c r="P87" i="6"/>
  <c r="N88" i="6"/>
  <c r="D59" i="5"/>
  <c r="E137" i="3"/>
  <c r="D53" i="5"/>
  <c r="I38" i="6"/>
  <c r="E24" i="5"/>
  <c r="D24" i="5" s="1"/>
  <c r="K67" i="6"/>
  <c r="I68" i="6"/>
  <c r="I87" i="5"/>
  <c r="P92" i="3"/>
  <c r="N92" i="3" s="1"/>
  <c r="I38" i="5"/>
  <c r="N93" i="6"/>
  <c r="E93" i="6"/>
  <c r="F90" i="6"/>
  <c r="K92" i="3"/>
  <c r="D97" i="6"/>
  <c r="N73" i="6"/>
  <c r="O71" i="6"/>
  <c r="K66" i="5"/>
  <c r="K78" i="6"/>
  <c r="K24" i="6"/>
  <c r="I80" i="6"/>
  <c r="O78" i="6"/>
  <c r="N79" i="6"/>
  <c r="P66" i="5"/>
  <c r="L92" i="3"/>
  <c r="E83" i="6"/>
  <c r="M90" i="6"/>
  <c r="N83" i="6"/>
  <c r="F92" i="3"/>
  <c r="E93" i="3"/>
  <c r="I93" i="3"/>
  <c r="J92" i="3"/>
  <c r="E88" i="6"/>
  <c r="F87" i="6"/>
  <c r="P90" i="6"/>
  <c r="N91" i="6"/>
  <c r="N84" i="6"/>
  <c r="H78" i="6"/>
  <c r="H24" i="6"/>
  <c r="I121" i="3"/>
  <c r="D115" i="6"/>
  <c r="D113" i="6"/>
  <c r="E89" i="6"/>
  <c r="E84" i="6"/>
  <c r="I89" i="6"/>
  <c r="D43" i="6"/>
  <c r="E14" i="3"/>
  <c r="D104" i="6"/>
  <c r="L90" i="6"/>
  <c r="I91" i="6"/>
  <c r="D107" i="6"/>
  <c r="I74" i="6"/>
  <c r="E20" i="10"/>
  <c r="N74" i="6"/>
  <c r="P67" i="6"/>
  <c r="N38" i="6"/>
  <c r="D108" i="6"/>
  <c r="E85" i="6"/>
  <c r="N24" i="5"/>
  <c r="I71" i="5"/>
  <c r="O26" i="3"/>
  <c r="Q66" i="5"/>
  <c r="I79" i="6"/>
  <c r="J78" i="6"/>
  <c r="E101" i="3"/>
  <c r="K90" i="6"/>
  <c r="I93" i="6"/>
  <c r="N121" i="3"/>
  <c r="I84" i="6"/>
  <c r="Q87" i="6"/>
  <c r="I99" i="3"/>
  <c r="D111" i="6"/>
  <c r="D50" i="5"/>
  <c r="E90" i="5"/>
  <c r="E71" i="5"/>
  <c r="I137" i="3"/>
  <c r="P78" i="6"/>
  <c r="P24" i="6"/>
  <c r="N80" i="6"/>
  <c r="N75" i="6"/>
  <c r="N85" i="6"/>
  <c r="D20" i="3"/>
  <c r="E74" i="6"/>
  <c r="G87" i="6"/>
  <c r="N90" i="5"/>
  <c r="Q71" i="6"/>
  <c r="N28" i="3"/>
  <c r="N38" i="5"/>
  <c r="F71" i="6"/>
  <c r="G78" i="6"/>
  <c r="G24" i="6"/>
  <c r="E80" i="6"/>
  <c r="E77" i="6"/>
  <c r="N67" i="5"/>
  <c r="O66" i="5"/>
  <c r="N99" i="3"/>
  <c r="I83" i="6"/>
  <c r="D112" i="6"/>
  <c r="H67" i="6"/>
  <c r="E67" i="6" s="1"/>
  <c r="L66" i="5"/>
  <c r="E70" i="6"/>
  <c r="D15" i="3"/>
  <c r="D43" i="5"/>
  <c r="E28" i="3"/>
  <c r="Q92" i="3"/>
  <c r="E121" i="3"/>
  <c r="I85" i="6"/>
  <c r="I28" i="3"/>
  <c r="G71" i="6"/>
  <c r="E38" i="5"/>
  <c r="D39" i="5"/>
  <c r="D100" i="6"/>
  <c r="E38" i="6"/>
  <c r="M78" i="6"/>
  <c r="E36" i="9"/>
  <c r="E73" i="6"/>
  <c r="F66" i="6" l="1"/>
  <c r="N24" i="6"/>
  <c r="N78" i="6"/>
  <c r="K26" i="3"/>
  <c r="D25" i="3"/>
  <c r="M26" i="3"/>
  <c r="L66" i="6"/>
  <c r="E75" i="7"/>
  <c r="I90" i="6"/>
  <c r="J26" i="3"/>
  <c r="I92" i="3"/>
  <c r="I87" i="6"/>
  <c r="H26" i="3"/>
  <c r="Q66" i="6"/>
  <c r="D38" i="6"/>
  <c r="E78" i="6"/>
  <c r="N26" i="3"/>
  <c r="P66" i="6"/>
  <c r="L26" i="3"/>
  <c r="P26" i="3"/>
  <c r="K66" i="6"/>
  <c r="E90" i="6"/>
  <c r="I67" i="6"/>
  <c r="J66" i="6"/>
  <c r="O66" i="6"/>
  <c r="N67" i="6"/>
  <c r="I24" i="6"/>
  <c r="I71" i="6"/>
  <c r="D38" i="5"/>
  <c r="E87" i="6"/>
  <c r="N71" i="6"/>
  <c r="N87" i="6"/>
  <c r="E10" i="10"/>
  <c r="D23" i="3"/>
  <c r="G66" i="6"/>
  <c r="Q26" i="3"/>
  <c r="N66" i="5"/>
  <c r="E71" i="6"/>
  <c r="I78" i="6"/>
  <c r="M66" i="6"/>
  <c r="N90" i="6"/>
  <c r="D28" i="3"/>
  <c r="H66" i="6"/>
  <c r="E24" i="6"/>
  <c r="E92" i="3"/>
  <c r="F26" i="3"/>
  <c r="E66" i="5"/>
  <c r="I66" i="5"/>
  <c r="E26" i="3" l="1"/>
  <c r="I26" i="3"/>
  <c r="E29" i="10"/>
  <c r="N66" i="6"/>
  <c r="D24" i="6"/>
  <c r="I66" i="6"/>
  <c r="E66" i="6"/>
  <c r="D26" i="3" l="1"/>
  <c r="E34" i="10"/>
  <c r="O242" i="3" l="1"/>
  <c r="P242" i="3"/>
  <c r="G242" i="3"/>
  <c r="K242" i="3"/>
  <c r="F242" i="3"/>
  <c r="M242" i="3"/>
  <c r="L242" i="3"/>
  <c r="J242" i="3"/>
  <c r="Q242" i="3"/>
  <c r="H242" i="3"/>
  <c r="G162" i="6" l="1"/>
  <c r="G160" i="6"/>
  <c r="G158" i="6"/>
  <c r="G163" i="6"/>
  <c r="G161" i="6"/>
  <c r="G159" i="6"/>
  <c r="G157" i="6"/>
  <c r="G152" i="6"/>
  <c r="G153" i="6"/>
  <c r="G154" i="6"/>
  <c r="G146" i="6"/>
  <c r="G145" i="6"/>
  <c r="G144" i="6"/>
  <c r="G148" i="6"/>
  <c r="G151" i="6"/>
  <c r="G149" i="6"/>
  <c r="G150" i="6"/>
  <c r="G156" i="6"/>
  <c r="G147" i="6"/>
  <c r="G155" i="6"/>
  <c r="G160" i="5"/>
  <c r="G159" i="5"/>
  <c r="G152" i="5"/>
  <c r="G151" i="5"/>
  <c r="G153" i="5"/>
  <c r="G156" i="5"/>
  <c r="G149" i="5"/>
  <c r="G146" i="5"/>
  <c r="G155" i="5"/>
  <c r="G144" i="5"/>
  <c r="G158" i="5"/>
  <c r="G148" i="5"/>
  <c r="G161" i="5"/>
  <c r="G162" i="5"/>
  <c r="G157" i="5"/>
  <c r="G150" i="5"/>
  <c r="G163" i="5"/>
  <c r="G145" i="5"/>
  <c r="G154" i="5"/>
  <c r="G147" i="5"/>
  <c r="G239" i="3"/>
  <c r="G237" i="3"/>
  <c r="G232" i="3"/>
  <c r="G227" i="3"/>
  <c r="G203" i="3"/>
  <c r="G195" i="3"/>
  <c r="G199" i="3"/>
  <c r="G240" i="3"/>
  <c r="G219" i="3"/>
  <c r="G229" i="3"/>
  <c r="G209" i="3"/>
  <c r="G225" i="3"/>
  <c r="G233" i="3"/>
  <c r="G220" i="3"/>
  <c r="G194" i="3"/>
  <c r="G226" i="3"/>
  <c r="G236" i="3"/>
  <c r="G216" i="3"/>
  <c r="G202" i="3"/>
  <c r="G197" i="3"/>
  <c r="G214" i="3"/>
  <c r="G217" i="3"/>
  <c r="G230" i="3"/>
  <c r="G213" i="3"/>
  <c r="G238" i="3"/>
  <c r="G221" i="3"/>
  <c r="G231" i="3"/>
  <c r="G228" i="3"/>
  <c r="G208" i="3"/>
  <c r="G210" i="3"/>
  <c r="G207" i="3"/>
  <c r="G223" i="3"/>
  <c r="G192" i="3"/>
  <c r="G224" i="3"/>
  <c r="G234" i="3"/>
  <c r="G212" i="3"/>
  <c r="G201" i="3"/>
  <c r="G206" i="3"/>
  <c r="G200" i="3"/>
  <c r="G222" i="3"/>
  <c r="P162" i="6"/>
  <c r="P161" i="6"/>
  <c r="P149" i="6"/>
  <c r="P160" i="6"/>
  <c r="P159" i="6"/>
  <c r="P158" i="6"/>
  <c r="P150" i="6"/>
  <c r="P151" i="6"/>
  <c r="P145" i="6"/>
  <c r="P144" i="6"/>
  <c r="P155" i="6"/>
  <c r="P147" i="6"/>
  <c r="P153" i="6"/>
  <c r="P156" i="6"/>
  <c r="P146" i="6"/>
  <c r="P154" i="6"/>
  <c r="P157" i="6"/>
  <c r="P152" i="6"/>
  <c r="P163" i="6"/>
  <c r="P148" i="6"/>
  <c r="P163" i="5"/>
  <c r="P161" i="5"/>
  <c r="P159" i="5"/>
  <c r="P152" i="5"/>
  <c r="P151" i="5"/>
  <c r="P157" i="5"/>
  <c r="P154" i="5"/>
  <c r="P147" i="5"/>
  <c r="P150" i="5"/>
  <c r="P162" i="5"/>
  <c r="P160" i="5"/>
  <c r="P153" i="5"/>
  <c r="P156" i="5"/>
  <c r="P149" i="5"/>
  <c r="P146" i="5"/>
  <c r="P144" i="5"/>
  <c r="P158" i="5"/>
  <c r="P145" i="5"/>
  <c r="P155" i="5"/>
  <c r="P148" i="5"/>
  <c r="P232" i="3"/>
  <c r="P227" i="3"/>
  <c r="P239" i="3"/>
  <c r="P237" i="3"/>
  <c r="P199" i="3"/>
  <c r="P194" i="3"/>
  <c r="P210" i="3"/>
  <c r="P226" i="3"/>
  <c r="P233" i="3"/>
  <c r="P213" i="3"/>
  <c r="P197" i="3"/>
  <c r="P228" i="3"/>
  <c r="P212" i="3"/>
  <c r="P195" i="3"/>
  <c r="P217" i="3"/>
  <c r="P220" i="3"/>
  <c r="P206" i="3"/>
  <c r="P240" i="3"/>
  <c r="P238" i="3"/>
  <c r="P203" i="3"/>
  <c r="P222" i="3"/>
  <c r="P207" i="3"/>
  <c r="P231" i="3"/>
  <c r="P219" i="3"/>
  <c r="P192" i="3"/>
  <c r="P214" i="3"/>
  <c r="P223" i="3"/>
  <c r="P221" i="3"/>
  <c r="P229" i="3"/>
  <c r="P200" i="3"/>
  <c r="P202" i="3"/>
  <c r="P230" i="3"/>
  <c r="P236" i="3"/>
  <c r="P208" i="3"/>
  <c r="P225" i="3"/>
  <c r="P224" i="3"/>
  <c r="P201" i="3"/>
  <c r="P209" i="3"/>
  <c r="P234" i="3"/>
  <c r="P216" i="3"/>
  <c r="L161" i="6"/>
  <c r="L160" i="6"/>
  <c r="L156" i="6"/>
  <c r="L148" i="6"/>
  <c r="L149" i="6"/>
  <c r="L163" i="6"/>
  <c r="L162" i="6"/>
  <c r="L150" i="6"/>
  <c r="L146" i="6"/>
  <c r="L157" i="6"/>
  <c r="L152" i="6"/>
  <c r="L155" i="6"/>
  <c r="L147" i="6"/>
  <c r="L151" i="6"/>
  <c r="L145" i="6"/>
  <c r="L144" i="6"/>
  <c r="L158" i="6"/>
  <c r="L154" i="6"/>
  <c r="L159" i="6"/>
  <c r="L153" i="6"/>
  <c r="L162" i="5"/>
  <c r="L160" i="5"/>
  <c r="L163" i="5"/>
  <c r="L151" i="5"/>
  <c r="L150" i="5"/>
  <c r="L159" i="5"/>
  <c r="L158" i="5"/>
  <c r="L155" i="5"/>
  <c r="L148" i="5"/>
  <c r="L154" i="5"/>
  <c r="L145" i="5"/>
  <c r="L157" i="5"/>
  <c r="L147" i="5"/>
  <c r="L161" i="5"/>
  <c r="L149" i="5"/>
  <c r="L153" i="5"/>
  <c r="L152" i="5"/>
  <c r="L146" i="5"/>
  <c r="L144" i="5"/>
  <c r="L156" i="5"/>
  <c r="L195" i="3"/>
  <c r="L230" i="3"/>
  <c r="L227" i="3"/>
  <c r="L225" i="3"/>
  <c r="L222" i="3"/>
  <c r="L203" i="3"/>
  <c r="L200" i="3"/>
  <c r="L202" i="3"/>
  <c r="L194" i="3"/>
  <c r="L226" i="3"/>
  <c r="L223" i="3"/>
  <c r="L210" i="3"/>
  <c r="L201" i="3"/>
  <c r="L234" i="3"/>
  <c r="L199" i="3"/>
  <c r="L232" i="3"/>
  <c r="L221" i="3"/>
  <c r="L216" i="3"/>
  <c r="L217" i="3"/>
  <c r="L209" i="3"/>
  <c r="L213" i="3"/>
  <c r="L240" i="3"/>
  <c r="L231" i="3"/>
  <c r="L238" i="3"/>
  <c r="L229" i="3"/>
  <c r="L207" i="3"/>
  <c r="L206" i="3"/>
  <c r="L192" i="3"/>
  <c r="L236" i="3"/>
  <c r="L239" i="3"/>
  <c r="L214" i="3"/>
  <c r="L233" i="3"/>
  <c r="L219" i="3"/>
  <c r="L228" i="3"/>
  <c r="L208" i="3"/>
  <c r="L237" i="3"/>
  <c r="L220" i="3"/>
  <c r="L224" i="3"/>
  <c r="L197" i="3"/>
  <c r="L212" i="3"/>
  <c r="F155" i="6"/>
  <c r="F153" i="6"/>
  <c r="F151" i="6"/>
  <c r="F149" i="6"/>
  <c r="F147" i="6"/>
  <c r="F145" i="6"/>
  <c r="F160" i="6"/>
  <c r="F159" i="6"/>
  <c r="F158" i="6"/>
  <c r="F157" i="6"/>
  <c r="F150" i="6"/>
  <c r="F156" i="6"/>
  <c r="F162" i="6"/>
  <c r="F148" i="6"/>
  <c r="F144" i="6"/>
  <c r="F154" i="6"/>
  <c r="F161" i="6"/>
  <c r="F146" i="6"/>
  <c r="F152" i="6"/>
  <c r="F163" i="6"/>
  <c r="F163" i="5"/>
  <c r="F146" i="5"/>
  <c r="F144" i="5"/>
  <c r="F154" i="5"/>
  <c r="F153" i="5"/>
  <c r="F145" i="5"/>
  <c r="F162" i="5"/>
  <c r="F161" i="5"/>
  <c r="F160" i="5"/>
  <c r="F150" i="5"/>
  <c r="F159" i="5"/>
  <c r="F156" i="5"/>
  <c r="F149" i="5"/>
  <c r="F152" i="5"/>
  <c r="F155" i="5"/>
  <c r="F148" i="5"/>
  <c r="F147" i="5"/>
  <c r="F158" i="5"/>
  <c r="F157" i="5"/>
  <c r="F151" i="5"/>
  <c r="E242" i="3"/>
  <c r="F237" i="3"/>
  <c r="F232" i="3"/>
  <c r="F224" i="3"/>
  <c r="F221" i="3"/>
  <c r="F210" i="3"/>
  <c r="F199" i="3"/>
  <c r="F226" i="3"/>
  <c r="F212" i="3"/>
  <c r="F234" i="3"/>
  <c r="F227" i="3"/>
  <c r="F208" i="3"/>
  <c r="F195" i="3"/>
  <c r="F230" i="3"/>
  <c r="F214" i="3"/>
  <c r="F233" i="3"/>
  <c r="F194" i="3"/>
  <c r="F239" i="3"/>
  <c r="F217" i="3"/>
  <c r="F202" i="3"/>
  <c r="F201" i="3"/>
  <c r="F206" i="3"/>
  <c r="F223" i="3"/>
  <c r="F192" i="3"/>
  <c r="F203" i="3"/>
  <c r="F222" i="3"/>
  <c r="F207" i="3"/>
  <c r="F238" i="3"/>
  <c r="F200" i="3"/>
  <c r="F236" i="3"/>
  <c r="F219" i="3"/>
  <c r="F228" i="3"/>
  <c r="F240" i="3"/>
  <c r="F216" i="3"/>
  <c r="F229" i="3"/>
  <c r="F197" i="3"/>
  <c r="F213" i="3"/>
  <c r="F220" i="3"/>
  <c r="F225" i="3"/>
  <c r="F231" i="3"/>
  <c r="F209" i="3"/>
  <c r="O162" i="6"/>
  <c r="O160" i="6"/>
  <c r="O158" i="6"/>
  <c r="O163" i="6"/>
  <c r="O161" i="6"/>
  <c r="O159" i="6"/>
  <c r="O157" i="6"/>
  <c r="O154" i="6"/>
  <c r="O146" i="6"/>
  <c r="O155" i="6"/>
  <c r="O147" i="6"/>
  <c r="O156" i="6"/>
  <c r="O148" i="6"/>
  <c r="O152" i="6"/>
  <c r="O150" i="6"/>
  <c r="O153" i="6"/>
  <c r="O151" i="6"/>
  <c r="O149" i="6"/>
  <c r="O144" i="6"/>
  <c r="O145" i="6"/>
  <c r="O146" i="5"/>
  <c r="O161" i="5"/>
  <c r="O154" i="5"/>
  <c r="O153" i="5"/>
  <c r="O145" i="5"/>
  <c r="O157" i="5"/>
  <c r="O147" i="5"/>
  <c r="O163" i="5"/>
  <c r="O150" i="5"/>
  <c r="O162" i="5"/>
  <c r="O160" i="5"/>
  <c r="O159" i="5"/>
  <c r="O156" i="5"/>
  <c r="O149" i="5"/>
  <c r="O158" i="5"/>
  <c r="O152" i="5"/>
  <c r="O151" i="5"/>
  <c r="O144" i="5"/>
  <c r="O155" i="5"/>
  <c r="O148" i="5"/>
  <c r="O237" i="3"/>
  <c r="O233" i="3"/>
  <c r="O195" i="3"/>
  <c r="O239" i="3"/>
  <c r="O232" i="3"/>
  <c r="O199" i="3"/>
  <c r="N242" i="3"/>
  <c r="O236" i="3"/>
  <c r="O201" i="3"/>
  <c r="O217" i="3"/>
  <c r="O227" i="3"/>
  <c r="O225" i="3"/>
  <c r="O223" i="3"/>
  <c r="O216" i="3"/>
  <c r="O209" i="3"/>
  <c r="O202" i="3"/>
  <c r="O207" i="3"/>
  <c r="O214" i="3"/>
  <c r="O219" i="3"/>
  <c r="O230" i="3"/>
  <c r="O234" i="3"/>
  <c r="O203" i="3"/>
  <c r="O238" i="3"/>
  <c r="O197" i="3"/>
  <c r="O231" i="3"/>
  <c r="O228" i="3"/>
  <c r="O208" i="3"/>
  <c r="O213" i="3"/>
  <c r="O210" i="3"/>
  <c r="O192" i="3"/>
  <c r="O240" i="3"/>
  <c r="O224" i="3"/>
  <c r="O229" i="3"/>
  <c r="O212" i="3"/>
  <c r="O206" i="3"/>
  <c r="O221" i="3"/>
  <c r="O200" i="3"/>
  <c r="O222" i="3"/>
  <c r="O220" i="3"/>
  <c r="O194" i="3"/>
  <c r="O226" i="3"/>
  <c r="M163" i="6"/>
  <c r="M156" i="6"/>
  <c r="M154" i="6"/>
  <c r="M152" i="6"/>
  <c r="M150" i="6"/>
  <c r="M148" i="6"/>
  <c r="M146" i="6"/>
  <c r="M151" i="6"/>
  <c r="M145" i="6"/>
  <c r="M153" i="6"/>
  <c r="M157" i="6"/>
  <c r="M149" i="6"/>
  <c r="M161" i="6"/>
  <c r="M155" i="6"/>
  <c r="M147" i="6"/>
  <c r="M160" i="6"/>
  <c r="M158" i="6"/>
  <c r="M162" i="6"/>
  <c r="M159" i="6"/>
  <c r="M144" i="6"/>
  <c r="M162" i="5"/>
  <c r="M161" i="5"/>
  <c r="M158" i="5"/>
  <c r="M156" i="5"/>
  <c r="M154" i="5"/>
  <c r="M152" i="5"/>
  <c r="M150" i="5"/>
  <c r="M148" i="5"/>
  <c r="M146" i="5"/>
  <c r="M149" i="5"/>
  <c r="M157" i="5"/>
  <c r="M151" i="5"/>
  <c r="M145" i="5"/>
  <c r="M147" i="5"/>
  <c r="M163" i="5"/>
  <c r="M160" i="5"/>
  <c r="M153" i="5"/>
  <c r="M159" i="5"/>
  <c r="M144" i="5"/>
  <c r="M155" i="5"/>
  <c r="M239" i="3"/>
  <c r="M233" i="3"/>
  <c r="M230" i="3"/>
  <c r="M225" i="3"/>
  <c r="M222" i="3"/>
  <c r="M203" i="3"/>
  <c r="M200" i="3"/>
  <c r="M237" i="3"/>
  <c r="M229" i="3"/>
  <c r="M206" i="3"/>
  <c r="M236" i="3"/>
  <c r="M232" i="3"/>
  <c r="M212" i="3"/>
  <c r="M234" i="3"/>
  <c r="M224" i="3"/>
  <c r="M199" i="3"/>
  <c r="M207" i="3"/>
  <c r="M231" i="3"/>
  <c r="M208" i="3"/>
  <c r="M194" i="3"/>
  <c r="M226" i="3"/>
  <c r="M213" i="3"/>
  <c r="M223" i="3"/>
  <c r="M209" i="3"/>
  <c r="M197" i="3"/>
  <c r="M240" i="3"/>
  <c r="M202" i="3"/>
  <c r="M195" i="3"/>
  <c r="M227" i="3"/>
  <c r="M220" i="3"/>
  <c r="M217" i="3"/>
  <c r="M201" i="3"/>
  <c r="M238" i="3"/>
  <c r="M219" i="3"/>
  <c r="M221" i="3"/>
  <c r="M210" i="3"/>
  <c r="M192" i="3"/>
  <c r="M214" i="3"/>
  <c r="M216" i="3"/>
  <c r="M228" i="3"/>
  <c r="K163" i="6"/>
  <c r="K161" i="6"/>
  <c r="K159" i="6"/>
  <c r="K157" i="6"/>
  <c r="K162" i="6"/>
  <c r="K160" i="6"/>
  <c r="K158" i="6"/>
  <c r="K153" i="6"/>
  <c r="K154" i="6"/>
  <c r="K146" i="6"/>
  <c r="K144" i="6"/>
  <c r="K155" i="6"/>
  <c r="K147" i="6"/>
  <c r="K149" i="6"/>
  <c r="K152" i="6"/>
  <c r="K148" i="6"/>
  <c r="K145" i="6"/>
  <c r="K156" i="6"/>
  <c r="K151" i="6"/>
  <c r="K150" i="6"/>
  <c r="K153" i="5"/>
  <c r="K152" i="5"/>
  <c r="K163" i="5"/>
  <c r="K160" i="5"/>
  <c r="K144" i="5"/>
  <c r="K158" i="5"/>
  <c r="K155" i="5"/>
  <c r="K148" i="5"/>
  <c r="K151" i="5"/>
  <c r="K154" i="5"/>
  <c r="K145" i="5"/>
  <c r="K162" i="5"/>
  <c r="K157" i="5"/>
  <c r="K150" i="5"/>
  <c r="K147" i="5"/>
  <c r="K156" i="5"/>
  <c r="K149" i="5"/>
  <c r="K159" i="5"/>
  <c r="K146" i="5"/>
  <c r="K161" i="5"/>
  <c r="K232" i="3"/>
  <c r="K226" i="3"/>
  <c r="K233" i="3"/>
  <c r="K239" i="3"/>
  <c r="K237" i="3"/>
  <c r="K202" i="3"/>
  <c r="K194" i="3"/>
  <c r="K224" i="3"/>
  <c r="K216" i="3"/>
  <c r="K212" i="3"/>
  <c r="K208" i="3"/>
  <c r="K210" i="3"/>
  <c r="K207" i="3"/>
  <c r="K236" i="3"/>
  <c r="K228" i="3"/>
  <c r="K213" i="3"/>
  <c r="K229" i="3"/>
  <c r="K234" i="3"/>
  <c r="K201" i="3"/>
  <c r="K221" i="3"/>
  <c r="K195" i="3"/>
  <c r="K227" i="3"/>
  <c r="K222" i="3"/>
  <c r="K214" i="3"/>
  <c r="K230" i="3"/>
  <c r="K199" i="3"/>
  <c r="K206" i="3"/>
  <c r="K238" i="3"/>
  <c r="K192" i="3"/>
  <c r="K200" i="3"/>
  <c r="K225" i="3"/>
  <c r="K220" i="3"/>
  <c r="K240" i="3"/>
  <c r="K209" i="3"/>
  <c r="K217" i="3"/>
  <c r="K203" i="3"/>
  <c r="K197" i="3"/>
  <c r="K219" i="3"/>
  <c r="K223" i="3"/>
  <c r="K231" i="3"/>
  <c r="H160" i="6"/>
  <c r="H159" i="6"/>
  <c r="H163" i="6"/>
  <c r="H162" i="6"/>
  <c r="H161" i="6"/>
  <c r="H155" i="6"/>
  <c r="H147" i="6"/>
  <c r="H156" i="6"/>
  <c r="H148" i="6"/>
  <c r="H149" i="6"/>
  <c r="H158" i="6"/>
  <c r="H151" i="6"/>
  <c r="H144" i="6"/>
  <c r="H154" i="6"/>
  <c r="H145" i="6"/>
  <c r="H157" i="6"/>
  <c r="H146" i="6"/>
  <c r="H152" i="6"/>
  <c r="H153" i="6"/>
  <c r="H150" i="6"/>
  <c r="H163" i="5"/>
  <c r="H161" i="5"/>
  <c r="H158" i="5"/>
  <c r="H157" i="5"/>
  <c r="H162" i="5"/>
  <c r="H150" i="5"/>
  <c r="H149" i="5"/>
  <c r="H156" i="5"/>
  <c r="H146" i="5"/>
  <c r="H159" i="5"/>
  <c r="H155" i="5"/>
  <c r="H152" i="5"/>
  <c r="H144" i="5"/>
  <c r="H148" i="5"/>
  <c r="H151" i="5"/>
  <c r="H145" i="5"/>
  <c r="H160" i="5"/>
  <c r="H154" i="5"/>
  <c r="H153" i="5"/>
  <c r="H147" i="5"/>
  <c r="H232" i="3"/>
  <c r="H233" i="3"/>
  <c r="H226" i="3"/>
  <c r="H210" i="3"/>
  <c r="H199" i="3"/>
  <c r="H194" i="3"/>
  <c r="H212" i="3"/>
  <c r="H195" i="3"/>
  <c r="H221" i="3"/>
  <c r="H230" i="3"/>
  <c r="H224" i="3"/>
  <c r="H213" i="3"/>
  <c r="H206" i="3"/>
  <c r="H239" i="3"/>
  <c r="H225" i="3"/>
  <c r="H222" i="3"/>
  <c r="H197" i="3"/>
  <c r="H227" i="3"/>
  <c r="H209" i="3"/>
  <c r="H200" i="3"/>
  <c r="H237" i="3"/>
  <c r="H229" i="3"/>
  <c r="H219" i="3"/>
  <c r="H240" i="3"/>
  <c r="H238" i="3"/>
  <c r="H217" i="3"/>
  <c r="H228" i="3"/>
  <c r="H220" i="3"/>
  <c r="H231" i="3"/>
  <c r="H192" i="3"/>
  <c r="H208" i="3"/>
  <c r="H207" i="3"/>
  <c r="H223" i="3"/>
  <c r="H216" i="3"/>
  <c r="H202" i="3"/>
  <c r="H201" i="3"/>
  <c r="H236" i="3"/>
  <c r="H214" i="3"/>
  <c r="H234" i="3"/>
  <c r="H203" i="3"/>
  <c r="Q157" i="6"/>
  <c r="Q155" i="6"/>
  <c r="Q153" i="6"/>
  <c r="Q151" i="6"/>
  <c r="Q149" i="6"/>
  <c r="Q147" i="6"/>
  <c r="Q152" i="6"/>
  <c r="Q163" i="6"/>
  <c r="Q162" i="6"/>
  <c r="Q161" i="6"/>
  <c r="Q154" i="6"/>
  <c r="Q146" i="6"/>
  <c r="Q160" i="6"/>
  <c r="Q150" i="6"/>
  <c r="Q156" i="6"/>
  <c r="Q159" i="6"/>
  <c r="Q148" i="6"/>
  <c r="Q144" i="6"/>
  <c r="Q158" i="6"/>
  <c r="Q145" i="6"/>
  <c r="Q159" i="5"/>
  <c r="Q157" i="5"/>
  <c r="Q155" i="5"/>
  <c r="Q153" i="5"/>
  <c r="Q151" i="5"/>
  <c r="Q149" i="5"/>
  <c r="Q147" i="5"/>
  <c r="Q163" i="5"/>
  <c r="Q160" i="5"/>
  <c r="Q158" i="5"/>
  <c r="Q150" i="5"/>
  <c r="Q162" i="5"/>
  <c r="Q161" i="5"/>
  <c r="Q156" i="5"/>
  <c r="Q146" i="5"/>
  <c r="Q144" i="5"/>
  <c r="Q152" i="5"/>
  <c r="Q145" i="5"/>
  <c r="Q154" i="5"/>
  <c r="Q148" i="5"/>
  <c r="Q232" i="3"/>
  <c r="Q229" i="3"/>
  <c r="Q202" i="3"/>
  <c r="Q199" i="3"/>
  <c r="Q194" i="3"/>
  <c r="Q221" i="3"/>
  <c r="Q210" i="3"/>
  <c r="Q226" i="3"/>
  <c r="Q212" i="3"/>
  <c r="Q237" i="3"/>
  <c r="Q233" i="3"/>
  <c r="Q239" i="3"/>
  <c r="Q217" i="3"/>
  <c r="Q209" i="3"/>
  <c r="Q227" i="3"/>
  <c r="Q195" i="3"/>
  <c r="Q230" i="3"/>
  <c r="Q223" i="3"/>
  <c r="Q214" i="3"/>
  <c r="Q228" i="3"/>
  <c r="Q201" i="3"/>
  <c r="Q236" i="3"/>
  <c r="Q219" i="3"/>
  <c r="Q224" i="3"/>
  <c r="Q197" i="3"/>
  <c r="Q220" i="3"/>
  <c r="Q200" i="3"/>
  <c r="Q192" i="3"/>
  <c r="Q206" i="3"/>
  <c r="Q213" i="3"/>
  <c r="Q222" i="3"/>
  <c r="Q240" i="3"/>
  <c r="Q216" i="3"/>
  <c r="Q234" i="3"/>
  <c r="Q238" i="3"/>
  <c r="Q231" i="3"/>
  <c r="Q203" i="3"/>
  <c r="Q207" i="3"/>
  <c r="Q208" i="3"/>
  <c r="Q225" i="3"/>
  <c r="J158" i="6"/>
  <c r="J156" i="6"/>
  <c r="J154" i="6"/>
  <c r="J152" i="6"/>
  <c r="J150" i="6"/>
  <c r="J148" i="6"/>
  <c r="J146" i="6"/>
  <c r="J144" i="6"/>
  <c r="J157" i="6"/>
  <c r="J151" i="6"/>
  <c r="J145" i="6"/>
  <c r="J161" i="6"/>
  <c r="J160" i="6"/>
  <c r="J159" i="6"/>
  <c r="J162" i="6"/>
  <c r="J149" i="6"/>
  <c r="J155" i="6"/>
  <c r="J163" i="6"/>
  <c r="J153" i="6"/>
  <c r="J147" i="6"/>
  <c r="J161" i="5"/>
  <c r="J155" i="5"/>
  <c r="J154" i="5"/>
  <c r="J145" i="5"/>
  <c r="J147" i="5"/>
  <c r="J146" i="5"/>
  <c r="J144" i="5"/>
  <c r="J159" i="5"/>
  <c r="J152" i="5"/>
  <c r="J149" i="5"/>
  <c r="J158" i="5"/>
  <c r="J148" i="5"/>
  <c r="J151" i="5"/>
  <c r="J162" i="5"/>
  <c r="J157" i="5"/>
  <c r="J156" i="5"/>
  <c r="J150" i="5"/>
  <c r="J163" i="5"/>
  <c r="J160" i="5"/>
  <c r="J153" i="5"/>
  <c r="J195" i="3"/>
  <c r="J212" i="3"/>
  <c r="J210" i="3"/>
  <c r="J233" i="3"/>
  <c r="J227" i="3"/>
  <c r="J234" i="3"/>
  <c r="J224" i="3"/>
  <c r="I242" i="3"/>
  <c r="J237" i="3"/>
  <c r="J219" i="3"/>
  <c r="J213" i="3"/>
  <c r="J202" i="3"/>
  <c r="J232" i="3"/>
  <c r="J221" i="3"/>
  <c r="J208" i="3"/>
  <c r="J228" i="3"/>
  <c r="J192" i="3"/>
  <c r="J229" i="3"/>
  <c r="J222" i="3"/>
  <c r="J226" i="3"/>
  <c r="J194" i="3"/>
  <c r="J197" i="3"/>
  <c r="J239" i="3"/>
  <c r="J231" i="3"/>
  <c r="J200" i="3"/>
  <c r="J207" i="3"/>
  <c r="J216" i="3"/>
  <c r="J209" i="3"/>
  <c r="J220" i="3"/>
  <c r="J223" i="3"/>
  <c r="J201" i="3"/>
  <c r="J225" i="3"/>
  <c r="J214" i="3"/>
  <c r="J203" i="3"/>
  <c r="J199" i="3"/>
  <c r="J236" i="3"/>
  <c r="J238" i="3"/>
  <c r="J206" i="3"/>
  <c r="J240" i="3"/>
  <c r="J230" i="3"/>
  <c r="J217" i="3"/>
  <c r="J218" i="3" l="1"/>
  <c r="I219" i="3"/>
  <c r="I145" i="6"/>
  <c r="J119" i="6"/>
  <c r="Q18" i="3"/>
  <c r="H138" i="5"/>
  <c r="K196" i="3"/>
  <c r="K131" i="5"/>
  <c r="M120" i="6"/>
  <c r="N202" i="3"/>
  <c r="O18" i="3"/>
  <c r="N155" i="6"/>
  <c r="O132" i="6"/>
  <c r="E210" i="3"/>
  <c r="L142" i="5"/>
  <c r="P18" i="3"/>
  <c r="P129" i="5"/>
  <c r="I217" i="3"/>
  <c r="I146" i="5"/>
  <c r="J120" i="5"/>
  <c r="Q135" i="6"/>
  <c r="H18" i="3"/>
  <c r="H119" i="5"/>
  <c r="H125" i="6"/>
  <c r="H141" i="6"/>
  <c r="K124" i="5"/>
  <c r="M191" i="3"/>
  <c r="M137" i="5"/>
  <c r="N240" i="3"/>
  <c r="N151" i="6"/>
  <c r="O126" i="6"/>
  <c r="E195" i="3"/>
  <c r="E162" i="6"/>
  <c r="F141" i="6"/>
  <c r="L138" i="5"/>
  <c r="L142" i="6"/>
  <c r="P125" i="6"/>
  <c r="I230" i="3"/>
  <c r="I225" i="3"/>
  <c r="I231" i="3"/>
  <c r="I228" i="3"/>
  <c r="I195" i="3"/>
  <c r="I157" i="6"/>
  <c r="J134" i="6"/>
  <c r="I240" i="3"/>
  <c r="I201" i="3"/>
  <c r="I239" i="3"/>
  <c r="I208" i="3"/>
  <c r="I224" i="3"/>
  <c r="I153" i="5"/>
  <c r="J129" i="5"/>
  <c r="I148" i="5"/>
  <c r="J123" i="5"/>
  <c r="I145" i="5"/>
  <c r="J119" i="5"/>
  <c r="I149" i="6"/>
  <c r="J124" i="6"/>
  <c r="I144" i="6"/>
  <c r="J118" i="6"/>
  <c r="Q140" i="5"/>
  <c r="Q126" i="5"/>
  <c r="Q123" i="6"/>
  <c r="Q141" i="6"/>
  <c r="Q134" i="6"/>
  <c r="H123" i="5"/>
  <c r="H125" i="5"/>
  <c r="H127" i="6"/>
  <c r="H124" i="6"/>
  <c r="H137" i="6"/>
  <c r="K198" i="3"/>
  <c r="K17" i="3"/>
  <c r="K211" i="3"/>
  <c r="K122" i="5"/>
  <c r="K132" i="5"/>
  <c r="K126" i="6"/>
  <c r="K118" i="6"/>
  <c r="K137" i="6"/>
  <c r="M18" i="3"/>
  <c r="M235" i="3"/>
  <c r="M138" i="5"/>
  <c r="M123" i="5"/>
  <c r="M118" i="6"/>
  <c r="M124" i="6"/>
  <c r="M127" i="6"/>
  <c r="N200" i="3"/>
  <c r="O19" i="3"/>
  <c r="O22" i="3"/>
  <c r="N210" i="3"/>
  <c r="N234" i="3"/>
  <c r="N223" i="3"/>
  <c r="O198" i="3"/>
  <c r="N199" i="3"/>
  <c r="O17" i="3"/>
  <c r="N155" i="5"/>
  <c r="O132" i="5"/>
  <c r="N160" i="5"/>
  <c r="O138" i="5"/>
  <c r="N154" i="5"/>
  <c r="O131" i="5"/>
  <c r="N150" i="6"/>
  <c r="O125" i="6"/>
  <c r="E216" i="3"/>
  <c r="F215" i="3"/>
  <c r="E222" i="3"/>
  <c r="E239" i="3"/>
  <c r="E227" i="3"/>
  <c r="E232" i="3"/>
  <c r="E155" i="5"/>
  <c r="F132" i="5"/>
  <c r="E162" i="5"/>
  <c r="F141" i="5"/>
  <c r="E152" i="6"/>
  <c r="F127" i="6"/>
  <c r="E150" i="6"/>
  <c r="F125" i="6"/>
  <c r="E151" i="6"/>
  <c r="F126" i="6"/>
  <c r="L205" i="3"/>
  <c r="L21" i="3"/>
  <c r="L129" i="5"/>
  <c r="L132" i="5"/>
  <c r="L129" i="6"/>
  <c r="L132" i="6"/>
  <c r="L123" i="6"/>
  <c r="P211" i="3"/>
  <c r="P198" i="3"/>
  <c r="P17" i="3"/>
  <c r="P135" i="5"/>
  <c r="P125" i="5"/>
  <c r="P142" i="5"/>
  <c r="P129" i="6"/>
  <c r="P137" i="6"/>
  <c r="G19" i="3"/>
  <c r="G22" i="3"/>
  <c r="G193" i="3"/>
  <c r="G198" i="3"/>
  <c r="G17" i="3"/>
  <c r="G122" i="5"/>
  <c r="G123" i="5"/>
  <c r="G126" i="5"/>
  <c r="G124" i="6"/>
  <c r="G127" i="6"/>
  <c r="I203" i="3"/>
  <c r="I144" i="5"/>
  <c r="J118" i="5"/>
  <c r="I154" i="6"/>
  <c r="J131" i="6"/>
  <c r="Q142" i="5"/>
  <c r="H205" i="3"/>
  <c r="H21" i="3"/>
  <c r="M135" i="5"/>
  <c r="N201" i="3"/>
  <c r="E200" i="3"/>
  <c r="F19" i="3"/>
  <c r="F22" i="3"/>
  <c r="E148" i="6"/>
  <c r="F123" i="6"/>
  <c r="L141" i="6"/>
  <c r="J191" i="3"/>
  <c r="I192" i="3"/>
  <c r="Q122" i="5"/>
  <c r="M132" i="6"/>
  <c r="O235" i="3"/>
  <c r="N236" i="3"/>
  <c r="E238" i="3"/>
  <c r="E147" i="6"/>
  <c r="F122" i="6"/>
  <c r="P132" i="5"/>
  <c r="J196" i="3"/>
  <c r="I197" i="3"/>
  <c r="I160" i="5"/>
  <c r="J138" i="5"/>
  <c r="I158" i="5"/>
  <c r="J135" i="5"/>
  <c r="I154" i="5"/>
  <c r="J131" i="5"/>
  <c r="I162" i="6"/>
  <c r="J141" i="6"/>
  <c r="I146" i="6"/>
  <c r="J120" i="6"/>
  <c r="Q218" i="3"/>
  <c r="Q123" i="5"/>
  <c r="Q141" i="5"/>
  <c r="Q129" i="5"/>
  <c r="Q137" i="6"/>
  <c r="Q142" i="6"/>
  <c r="H196" i="3"/>
  <c r="H118" i="5"/>
  <c r="H141" i="5"/>
  <c r="H120" i="6"/>
  <c r="H123" i="6"/>
  <c r="H138" i="6"/>
  <c r="K215" i="3"/>
  <c r="K125" i="5"/>
  <c r="K135" i="5"/>
  <c r="K133" i="6"/>
  <c r="K120" i="6"/>
  <c r="K140" i="6"/>
  <c r="M218" i="3"/>
  <c r="M205" i="3"/>
  <c r="M21" i="3"/>
  <c r="M142" i="5"/>
  <c r="M125" i="5"/>
  <c r="M137" i="6"/>
  <c r="M134" i="6"/>
  <c r="M131" i="6"/>
  <c r="N221" i="3"/>
  <c r="N213" i="3"/>
  <c r="N230" i="3"/>
  <c r="N225" i="3"/>
  <c r="N232" i="3"/>
  <c r="N144" i="5"/>
  <c r="O118" i="5"/>
  <c r="N162" i="5"/>
  <c r="O141" i="5"/>
  <c r="N161" i="5"/>
  <c r="O140" i="5"/>
  <c r="N152" i="6"/>
  <c r="O127" i="6"/>
  <c r="N157" i="6"/>
  <c r="O134" i="6"/>
  <c r="E209" i="3"/>
  <c r="E240" i="3"/>
  <c r="E203" i="3"/>
  <c r="E234" i="3"/>
  <c r="E237" i="3"/>
  <c r="E152" i="5"/>
  <c r="F127" i="5"/>
  <c r="E145" i="5"/>
  <c r="F119" i="5"/>
  <c r="E146" i="6"/>
  <c r="F120" i="6"/>
  <c r="E157" i="6"/>
  <c r="F134" i="6"/>
  <c r="E153" i="6"/>
  <c r="F129" i="6"/>
  <c r="L215" i="3"/>
  <c r="L124" i="5"/>
  <c r="L135" i="5"/>
  <c r="L137" i="6"/>
  <c r="L127" i="6"/>
  <c r="L133" i="6"/>
  <c r="P118" i="5"/>
  <c r="P122" i="5"/>
  <c r="P123" i="6"/>
  <c r="P122" i="6"/>
  <c r="P138" i="6"/>
  <c r="G205" i="3"/>
  <c r="G21" i="3"/>
  <c r="G131" i="5"/>
  <c r="G135" i="5"/>
  <c r="G127" i="5"/>
  <c r="G126" i="6"/>
  <c r="G134" i="6"/>
  <c r="I207" i="3"/>
  <c r="Q120" i="6"/>
  <c r="H198" i="3"/>
  <c r="H17" i="3"/>
  <c r="M122" i="6"/>
  <c r="N237" i="3"/>
  <c r="N158" i="6"/>
  <c r="O135" i="6"/>
  <c r="E158" i="5"/>
  <c r="D158" i="5" s="1"/>
  <c r="F135" i="5"/>
  <c r="L119" i="6"/>
  <c r="P123" i="5"/>
  <c r="I200" i="3"/>
  <c r="J19" i="3"/>
  <c r="J22" i="3"/>
  <c r="I162" i="5"/>
  <c r="J141" i="5"/>
  <c r="I156" i="6"/>
  <c r="J133" i="6"/>
  <c r="Q120" i="5"/>
  <c r="M140" i="5"/>
  <c r="N209" i="3"/>
  <c r="N146" i="6"/>
  <c r="O120" i="6"/>
  <c r="E160" i="5"/>
  <c r="F138" i="5"/>
  <c r="Q125" i="5"/>
  <c r="Q133" i="6"/>
  <c r="H218" i="3"/>
  <c r="H122" i="5"/>
  <c r="H127" i="5"/>
  <c r="H134" i="6"/>
  <c r="K134" i="5"/>
  <c r="K118" i="5"/>
  <c r="K119" i="6"/>
  <c r="K131" i="6"/>
  <c r="K142" i="6"/>
  <c r="M196" i="3"/>
  <c r="M122" i="5"/>
  <c r="M127" i="5"/>
  <c r="M141" i="6"/>
  <c r="M129" i="6"/>
  <c r="M133" i="6"/>
  <c r="N206" i="3"/>
  <c r="O205" i="3"/>
  <c r="O21" i="3"/>
  <c r="N208" i="3"/>
  <c r="O218" i="3"/>
  <c r="N219" i="3"/>
  <c r="N227" i="3"/>
  <c r="N239" i="3"/>
  <c r="N151" i="5"/>
  <c r="O126" i="5"/>
  <c r="N150" i="5"/>
  <c r="O125" i="5"/>
  <c r="N146" i="5"/>
  <c r="O120" i="5"/>
  <c r="N148" i="6"/>
  <c r="O123" i="6"/>
  <c r="N159" i="6"/>
  <c r="O137" i="6"/>
  <c r="E231" i="3"/>
  <c r="E228" i="3"/>
  <c r="E192" i="3"/>
  <c r="F191" i="3"/>
  <c r="E194" i="3"/>
  <c r="F193" i="3"/>
  <c r="E212" i="3"/>
  <c r="F211" i="3"/>
  <c r="E149" i="5"/>
  <c r="F124" i="5"/>
  <c r="E153" i="5"/>
  <c r="D153" i="5" s="1"/>
  <c r="F129" i="5"/>
  <c r="E161" i="6"/>
  <c r="F140" i="6"/>
  <c r="E158" i="6"/>
  <c r="D158" i="6" s="1"/>
  <c r="F135" i="6"/>
  <c r="E155" i="6"/>
  <c r="F132" i="6"/>
  <c r="L218" i="3"/>
  <c r="L193" i="3"/>
  <c r="L140" i="5"/>
  <c r="L137" i="5"/>
  <c r="L131" i="6"/>
  <c r="L134" i="6"/>
  <c r="L138" i="6"/>
  <c r="P196" i="3"/>
  <c r="P120" i="5"/>
  <c r="P131" i="5"/>
  <c r="P142" i="6"/>
  <c r="P132" i="6"/>
  <c r="P124" i="6"/>
  <c r="G119" i="5"/>
  <c r="G118" i="5"/>
  <c r="G137" i="5"/>
  <c r="G123" i="6"/>
  <c r="G137" i="6"/>
  <c r="I229" i="3"/>
  <c r="I153" i="6"/>
  <c r="J129" i="6"/>
  <c r="Q19" i="3"/>
  <c r="Q22" i="3"/>
  <c r="Q118" i="5"/>
  <c r="Q126" i="6"/>
  <c r="H142" i="5"/>
  <c r="K127" i="5"/>
  <c r="K138" i="6"/>
  <c r="M118" i="5"/>
  <c r="O196" i="3"/>
  <c r="N197" i="3"/>
  <c r="N149" i="6"/>
  <c r="O124" i="6"/>
  <c r="E230" i="3"/>
  <c r="E146" i="5"/>
  <c r="F120" i="5"/>
  <c r="E145" i="6"/>
  <c r="F119" i="6"/>
  <c r="L118" i="5"/>
  <c r="P126" i="6"/>
  <c r="J211" i="3"/>
  <c r="I212" i="3"/>
  <c r="Q131" i="6"/>
  <c r="K126" i="5"/>
  <c r="K122" i="6"/>
  <c r="M211" i="3"/>
  <c r="M123" i="6"/>
  <c r="N160" i="6"/>
  <c r="O138" i="6"/>
  <c r="E221" i="3"/>
  <c r="L235" i="3"/>
  <c r="L131" i="5"/>
  <c r="P19" i="3"/>
  <c r="P22" i="3"/>
  <c r="P138" i="5"/>
  <c r="J205" i="3"/>
  <c r="I206" i="3"/>
  <c r="J21" i="3"/>
  <c r="I221" i="3"/>
  <c r="I238" i="3"/>
  <c r="I194" i="3"/>
  <c r="J193" i="3"/>
  <c r="I227" i="3"/>
  <c r="I163" i="5"/>
  <c r="J142" i="5"/>
  <c r="I149" i="5"/>
  <c r="J124" i="5"/>
  <c r="I155" i="5"/>
  <c r="J132" i="5"/>
  <c r="I148" i="6"/>
  <c r="J123" i="6"/>
  <c r="Q235" i="3"/>
  <c r="Q131" i="5"/>
  <c r="Q132" i="5"/>
  <c r="Q127" i="6"/>
  <c r="H134" i="5"/>
  <c r="I209" i="3"/>
  <c r="I226" i="3"/>
  <c r="I202" i="3"/>
  <c r="J18" i="3"/>
  <c r="I233" i="3"/>
  <c r="I150" i="5"/>
  <c r="J125" i="5"/>
  <c r="I152" i="5"/>
  <c r="D152" i="5" s="1"/>
  <c r="J127" i="5"/>
  <c r="I161" i="5"/>
  <c r="J140" i="5"/>
  <c r="I160" i="6"/>
  <c r="J138" i="6"/>
  <c r="I150" i="6"/>
  <c r="J125" i="6"/>
  <c r="Q205" i="3"/>
  <c r="Q21" i="3"/>
  <c r="Q193" i="3"/>
  <c r="Q119" i="5"/>
  <c r="Q135" i="5"/>
  <c r="Q134" i="5"/>
  <c r="Q125" i="6"/>
  <c r="Q122" i="6"/>
  <c r="H191" i="3"/>
  <c r="H211" i="3"/>
  <c r="H129" i="5"/>
  <c r="H132" i="5"/>
  <c r="H135" i="5"/>
  <c r="H119" i="6"/>
  <c r="H122" i="6"/>
  <c r="K193" i="3"/>
  <c r="K140" i="5"/>
  <c r="K141" i="5"/>
  <c r="K138" i="5"/>
  <c r="K123" i="6"/>
  <c r="K129" i="6"/>
  <c r="M198" i="3"/>
  <c r="M17" i="3"/>
  <c r="M119" i="5"/>
  <c r="M131" i="5"/>
  <c r="M135" i="6"/>
  <c r="M119" i="6"/>
  <c r="M142" i="6"/>
  <c r="N212" i="3"/>
  <c r="O211" i="3"/>
  <c r="N228" i="3"/>
  <c r="N214" i="3"/>
  <c r="N217" i="3"/>
  <c r="N195" i="3"/>
  <c r="N152" i="5"/>
  <c r="O127" i="5"/>
  <c r="N163" i="5"/>
  <c r="O142" i="5"/>
  <c r="N145" i="6"/>
  <c r="D145" i="6"/>
  <c r="O119" i="6"/>
  <c r="N156" i="6"/>
  <c r="O133" i="6"/>
  <c r="N161" i="6"/>
  <c r="O140" i="6"/>
  <c r="E225" i="3"/>
  <c r="E219" i="3"/>
  <c r="F218" i="3"/>
  <c r="E223" i="3"/>
  <c r="E233" i="3"/>
  <c r="E226" i="3"/>
  <c r="E151" i="5"/>
  <c r="F126" i="5"/>
  <c r="E156" i="5"/>
  <c r="F133" i="5"/>
  <c r="E154" i="5"/>
  <c r="F131" i="5"/>
  <c r="E154" i="6"/>
  <c r="F131" i="6"/>
  <c r="E159" i="6"/>
  <c r="F137" i="6"/>
  <c r="L211" i="3"/>
  <c r="L18" i="3"/>
  <c r="L122" i="5"/>
  <c r="L125" i="5"/>
  <c r="L135" i="6"/>
  <c r="L120" i="6"/>
  <c r="L140" i="6"/>
  <c r="P235" i="3"/>
  <c r="P191" i="3"/>
  <c r="P205" i="3"/>
  <c r="P21" i="3"/>
  <c r="P124" i="5"/>
  <c r="P134" i="5"/>
  <c r="P127" i="6"/>
  <c r="P118" i="6"/>
  <c r="P140" i="6"/>
  <c r="G211" i="3"/>
  <c r="G196" i="3"/>
  <c r="G142" i="5"/>
  <c r="G132" i="5"/>
  <c r="G138" i="5"/>
  <c r="G118" i="6"/>
  <c r="G140" i="6"/>
  <c r="I157" i="5"/>
  <c r="D157" i="5" s="1"/>
  <c r="J134" i="5"/>
  <c r="H120" i="5"/>
  <c r="H140" i="6"/>
  <c r="K137" i="5"/>
  <c r="M134" i="5"/>
  <c r="N224" i="3"/>
  <c r="N149" i="5"/>
  <c r="O124" i="5"/>
  <c r="E213" i="3"/>
  <c r="E150" i="5"/>
  <c r="F125" i="5"/>
  <c r="P127" i="5"/>
  <c r="I214" i="3"/>
  <c r="I163" i="6"/>
  <c r="J142" i="6"/>
  <c r="H126" i="6"/>
  <c r="K141" i="6"/>
  <c r="M124" i="5"/>
  <c r="N238" i="3"/>
  <c r="N145" i="5"/>
  <c r="D145" i="5"/>
  <c r="O119" i="5"/>
  <c r="E202" i="3"/>
  <c r="F18" i="3"/>
  <c r="E163" i="5"/>
  <c r="D163" i="5" s="1"/>
  <c r="F142" i="5"/>
  <c r="P137" i="5"/>
  <c r="I223" i="3"/>
  <c r="I234" i="3"/>
  <c r="I220" i="3"/>
  <c r="I232" i="3"/>
  <c r="I159" i="6"/>
  <c r="J137" i="6"/>
  <c r="H133" i="6"/>
  <c r="I236" i="3"/>
  <c r="J235" i="3"/>
  <c r="J198" i="3"/>
  <c r="I199" i="3"/>
  <c r="J17" i="3"/>
  <c r="J215" i="3"/>
  <c r="I216" i="3"/>
  <c r="I222" i="3"/>
  <c r="I213" i="3"/>
  <c r="I156" i="5"/>
  <c r="J133" i="5"/>
  <c r="I159" i="5"/>
  <c r="D159" i="5" s="1"/>
  <c r="J137" i="5"/>
  <c r="I147" i="6"/>
  <c r="J122" i="6"/>
  <c r="I161" i="6"/>
  <c r="J140" i="6"/>
  <c r="I152" i="6"/>
  <c r="J127" i="6"/>
  <c r="Q191" i="3"/>
  <c r="Q198" i="3"/>
  <c r="Q17" i="3"/>
  <c r="Q127" i="5"/>
  <c r="Q138" i="5"/>
  <c r="Q137" i="5"/>
  <c r="Q138" i="6"/>
  <c r="Q124" i="6"/>
  <c r="H235" i="3"/>
  <c r="H193" i="3"/>
  <c r="H131" i="5"/>
  <c r="H137" i="5"/>
  <c r="H140" i="5"/>
  <c r="H131" i="6"/>
  <c r="H132" i="6"/>
  <c r="K218" i="3"/>
  <c r="K19" i="3"/>
  <c r="K22" i="3"/>
  <c r="K235" i="3"/>
  <c r="K18" i="3"/>
  <c r="K120" i="5"/>
  <c r="K119" i="5"/>
  <c r="K142" i="5"/>
  <c r="K127" i="6"/>
  <c r="K135" i="6"/>
  <c r="M215" i="3"/>
  <c r="M19" i="3"/>
  <c r="M22" i="3"/>
  <c r="M132" i="5"/>
  <c r="M126" i="5"/>
  <c r="M133" i="5"/>
  <c r="M138" i="6"/>
  <c r="M126" i="6"/>
  <c r="N226" i="3"/>
  <c r="N229" i="3"/>
  <c r="N231" i="3"/>
  <c r="N207" i="3"/>
  <c r="D242" i="3"/>
  <c r="N233" i="3"/>
  <c r="N158" i="5"/>
  <c r="O135" i="5"/>
  <c r="N147" i="5"/>
  <c r="O122" i="5"/>
  <c r="N144" i="6"/>
  <c r="O118" i="6"/>
  <c r="N147" i="6"/>
  <c r="O122" i="6"/>
  <c r="N163" i="6"/>
  <c r="O142" i="6"/>
  <c r="E220" i="3"/>
  <c r="E236" i="3"/>
  <c r="F235" i="3"/>
  <c r="E206" i="3"/>
  <c r="F205" i="3"/>
  <c r="F21" i="3"/>
  <c r="E214" i="3"/>
  <c r="E199" i="3"/>
  <c r="F198" i="3"/>
  <c r="F17" i="3"/>
  <c r="E157" i="5"/>
  <c r="F134" i="5"/>
  <c r="E159" i="5"/>
  <c r="F137" i="5"/>
  <c r="E144" i="5"/>
  <c r="F118" i="5"/>
  <c r="E144" i="6"/>
  <c r="F118" i="6"/>
  <c r="E160" i="6"/>
  <c r="F138" i="6"/>
  <c r="L196" i="3"/>
  <c r="L198" i="3"/>
  <c r="L17" i="3"/>
  <c r="L19" i="3"/>
  <c r="L22" i="3"/>
  <c r="L133" i="5"/>
  <c r="L134" i="5"/>
  <c r="L126" i="5"/>
  <c r="L118" i="6"/>
  <c r="L125" i="6"/>
  <c r="P215" i="3"/>
  <c r="P218" i="3"/>
  <c r="P133" i="5"/>
  <c r="P126" i="5"/>
  <c r="P134" i="6"/>
  <c r="P119" i="6"/>
  <c r="P141" i="6"/>
  <c r="G18" i="3"/>
  <c r="G125" i="5"/>
  <c r="G120" i="5"/>
  <c r="G132" i="6"/>
  <c r="G119" i="6"/>
  <c r="G142" i="6"/>
  <c r="G215" i="3"/>
  <c r="G134" i="5"/>
  <c r="G124" i="5"/>
  <c r="G122" i="6"/>
  <c r="G120" i="6"/>
  <c r="G135" i="6"/>
  <c r="G191" i="3"/>
  <c r="G235" i="3"/>
  <c r="G218" i="3"/>
  <c r="G141" i="5"/>
  <c r="G133" i="5"/>
  <c r="G133" i="6"/>
  <c r="G131" i="6"/>
  <c r="G138" i="6"/>
  <c r="I210" i="3"/>
  <c r="Q119" i="6"/>
  <c r="H22" i="3"/>
  <c r="H19" i="3"/>
  <c r="H118" i="6"/>
  <c r="K191" i="3"/>
  <c r="K124" i="6"/>
  <c r="N194" i="3"/>
  <c r="O193" i="3"/>
  <c r="N157" i="5"/>
  <c r="O134" i="5"/>
  <c r="E201" i="3"/>
  <c r="L119" i="5"/>
  <c r="P131" i="6"/>
  <c r="I237" i="3"/>
  <c r="I151" i="6"/>
  <c r="J126" i="6"/>
  <c r="Q129" i="6"/>
  <c r="H133" i="5"/>
  <c r="K129" i="5"/>
  <c r="N220" i="3"/>
  <c r="N156" i="5"/>
  <c r="D156" i="5"/>
  <c r="O133" i="5"/>
  <c r="F196" i="3"/>
  <c r="E197" i="3"/>
  <c r="E147" i="5"/>
  <c r="F122" i="5"/>
  <c r="L120" i="5"/>
  <c r="L126" i="6"/>
  <c r="P120" i="6"/>
  <c r="I151" i="5"/>
  <c r="J126" i="5"/>
  <c r="I147" i="5"/>
  <c r="J122" i="5"/>
  <c r="I155" i="6"/>
  <c r="J132" i="6"/>
  <c r="I158" i="6"/>
  <c r="J135" i="6"/>
  <c r="Q215" i="3"/>
  <c r="Q196" i="3"/>
  <c r="Q211" i="3"/>
  <c r="Q133" i="5"/>
  <c r="Q124" i="5"/>
  <c r="Q118" i="6"/>
  <c r="Q140" i="6"/>
  <c r="Q132" i="6"/>
  <c r="H215" i="3"/>
  <c r="H126" i="5"/>
  <c r="H124" i="5"/>
  <c r="H129" i="6"/>
  <c r="H135" i="6"/>
  <c r="H142" i="6"/>
  <c r="K205" i="3"/>
  <c r="K21" i="3"/>
  <c r="K133" i="5"/>
  <c r="K123" i="5"/>
  <c r="K125" i="6"/>
  <c r="K132" i="6"/>
  <c r="K134" i="6"/>
  <c r="M193" i="3"/>
  <c r="M129" i="5"/>
  <c r="M120" i="5"/>
  <c r="M141" i="5"/>
  <c r="M140" i="6"/>
  <c r="M125" i="6"/>
  <c r="N222" i="3"/>
  <c r="N192" i="3"/>
  <c r="O191" i="3"/>
  <c r="N203" i="3"/>
  <c r="N216" i="3"/>
  <c r="O215" i="3"/>
  <c r="N148" i="5"/>
  <c r="O123" i="5"/>
  <c r="N159" i="5"/>
  <c r="O137" i="5"/>
  <c r="N153" i="5"/>
  <c r="O129" i="5"/>
  <c r="N153" i="6"/>
  <c r="D153" i="6"/>
  <c r="O129" i="6"/>
  <c r="D154" i="6"/>
  <c r="N154" i="6"/>
  <c r="O131" i="6"/>
  <c r="D162" i="6"/>
  <c r="N162" i="6"/>
  <c r="O141" i="6"/>
  <c r="E229" i="3"/>
  <c r="E207" i="3"/>
  <c r="E217" i="3"/>
  <c r="E208" i="3"/>
  <c r="E224" i="3"/>
  <c r="E148" i="5"/>
  <c r="F123" i="5"/>
  <c r="E161" i="5"/>
  <c r="F140" i="5"/>
  <c r="E163" i="6"/>
  <c r="F142" i="6"/>
  <c r="E156" i="6"/>
  <c r="D156" i="6" s="1"/>
  <c r="F133" i="6"/>
  <c r="E149" i="6"/>
  <c r="F124" i="6"/>
  <c r="L191" i="3"/>
  <c r="L127" i="5"/>
  <c r="L123" i="5"/>
  <c r="L141" i="5"/>
  <c r="L122" i="6"/>
  <c r="L124" i="6"/>
  <c r="P193" i="3"/>
  <c r="P119" i="5"/>
  <c r="P141" i="5"/>
  <c r="P140" i="5"/>
  <c r="P133" i="6"/>
  <c r="P135" i="6"/>
  <c r="G140" i="5"/>
  <c r="G129" i="5"/>
  <c r="G125" i="6"/>
  <c r="G129" i="6"/>
  <c r="G141" i="6"/>
  <c r="D162" i="5" l="1"/>
  <c r="K29" i="6"/>
  <c r="E124" i="6"/>
  <c r="F18" i="6"/>
  <c r="L14" i="5"/>
  <c r="M20" i="6"/>
  <c r="Q18" i="6"/>
  <c r="M128" i="5"/>
  <c r="M23" i="5"/>
  <c r="K20" i="3"/>
  <c r="I132" i="6"/>
  <c r="J27" i="6"/>
  <c r="L13" i="5"/>
  <c r="N193" i="3"/>
  <c r="G33" i="6"/>
  <c r="G36" i="5"/>
  <c r="G30" i="6"/>
  <c r="G29" i="5"/>
  <c r="G27" i="6"/>
  <c r="P36" i="6"/>
  <c r="P28" i="5"/>
  <c r="L117" i="6"/>
  <c r="L12" i="6"/>
  <c r="E138" i="6"/>
  <c r="F33" i="6"/>
  <c r="E198" i="3"/>
  <c r="F16" i="3"/>
  <c r="E21" i="3"/>
  <c r="K37" i="5"/>
  <c r="I133" i="5"/>
  <c r="J28" i="5"/>
  <c r="E142" i="5"/>
  <c r="F37" i="5"/>
  <c r="H20" i="6"/>
  <c r="H139" i="6"/>
  <c r="H35" i="6"/>
  <c r="L14" i="6"/>
  <c r="E126" i="5"/>
  <c r="F20" i="5"/>
  <c r="M16" i="3"/>
  <c r="K36" i="5"/>
  <c r="H13" i="6"/>
  <c r="Q29" i="5"/>
  <c r="I132" i="5"/>
  <c r="J27" i="5"/>
  <c r="E135" i="6"/>
  <c r="F30" i="6"/>
  <c r="E193" i="3"/>
  <c r="N205" i="3"/>
  <c r="O20" i="3"/>
  <c r="N120" i="6"/>
  <c r="O14" i="6"/>
  <c r="Q14" i="5"/>
  <c r="E135" i="5"/>
  <c r="F30" i="5"/>
  <c r="G30" i="5"/>
  <c r="E134" i="6"/>
  <c r="F29" i="6"/>
  <c r="M136" i="6"/>
  <c r="M32" i="6"/>
  <c r="I135" i="5"/>
  <c r="J30" i="5"/>
  <c r="I196" i="3"/>
  <c r="J13" i="3"/>
  <c r="G20" i="5"/>
  <c r="G16" i="3"/>
  <c r="P128" i="6"/>
  <c r="P23" i="6"/>
  <c r="L20" i="3"/>
  <c r="E127" i="6"/>
  <c r="F21" i="6"/>
  <c r="D160" i="5"/>
  <c r="N22" i="3"/>
  <c r="M117" i="6"/>
  <c r="M12" i="6"/>
  <c r="K27" i="5"/>
  <c r="K16" i="3"/>
  <c r="I124" i="6"/>
  <c r="J18" i="6"/>
  <c r="D151" i="6"/>
  <c r="K18" i="5"/>
  <c r="M14" i="6"/>
  <c r="K28" i="5"/>
  <c r="G37" i="6"/>
  <c r="K14" i="5"/>
  <c r="I127" i="6"/>
  <c r="J21" i="6"/>
  <c r="I134" i="5"/>
  <c r="J29" i="5"/>
  <c r="G128" i="6"/>
  <c r="G23" i="6"/>
  <c r="Q21" i="5"/>
  <c r="P139" i="6"/>
  <c r="P35" i="6"/>
  <c r="M13" i="5"/>
  <c r="I123" i="6"/>
  <c r="J17" i="6"/>
  <c r="E133" i="6"/>
  <c r="F28" i="6"/>
  <c r="M19" i="6"/>
  <c r="K19" i="6"/>
  <c r="G128" i="5"/>
  <c r="G23" i="5"/>
  <c r="P139" i="5"/>
  <c r="P35" i="5"/>
  <c r="L18" i="6"/>
  <c r="L21" i="5"/>
  <c r="E123" i="5"/>
  <c r="F17" i="5"/>
  <c r="H37" i="6"/>
  <c r="H20" i="5"/>
  <c r="Q117" i="6"/>
  <c r="Q12" i="6"/>
  <c r="P14" i="6"/>
  <c r="I126" i="6"/>
  <c r="J20" i="6"/>
  <c r="E137" i="5"/>
  <c r="F136" i="5"/>
  <c r="F32" i="5"/>
  <c r="E17" i="3"/>
  <c r="E235" i="3"/>
  <c r="D163" i="6"/>
  <c r="M28" i="5"/>
  <c r="H130" i="6"/>
  <c r="H26" i="6"/>
  <c r="Q136" i="5"/>
  <c r="Q32" i="5"/>
  <c r="Q16" i="3"/>
  <c r="I215" i="3"/>
  <c r="H28" i="6"/>
  <c r="E125" i="5"/>
  <c r="F19" i="5"/>
  <c r="D149" i="5"/>
  <c r="G117" i="6"/>
  <c r="G12" i="6"/>
  <c r="P21" i="6"/>
  <c r="P20" i="3"/>
  <c r="M30" i="6"/>
  <c r="Q20" i="3"/>
  <c r="J139" i="5"/>
  <c r="I140" i="5"/>
  <c r="J35" i="5"/>
  <c r="Q130" i="5"/>
  <c r="Q26" i="5"/>
  <c r="N138" i="6"/>
  <c r="O33" i="6"/>
  <c r="K121" i="6"/>
  <c r="K16" i="6"/>
  <c r="I211" i="3"/>
  <c r="E120" i="5"/>
  <c r="F14" i="5"/>
  <c r="K21" i="5"/>
  <c r="G136" i="6"/>
  <c r="G32" i="6"/>
  <c r="G13" i="5"/>
  <c r="P130" i="5"/>
  <c r="P26" i="5"/>
  <c r="L29" i="6"/>
  <c r="E124" i="5"/>
  <c r="F18" i="5"/>
  <c r="N137" i="6"/>
  <c r="O136" i="6"/>
  <c r="O32" i="6"/>
  <c r="N120" i="5"/>
  <c r="O14" i="5"/>
  <c r="N126" i="5"/>
  <c r="O20" i="5"/>
  <c r="M21" i="5"/>
  <c r="K130" i="6"/>
  <c r="K26" i="6"/>
  <c r="H29" i="6"/>
  <c r="Q28" i="6"/>
  <c r="M121" i="6"/>
  <c r="M16" i="6"/>
  <c r="P121" i="6"/>
  <c r="P16" i="6"/>
  <c r="L28" i="6"/>
  <c r="L18" i="5"/>
  <c r="E127" i="5"/>
  <c r="F21" i="5"/>
  <c r="D161" i="5"/>
  <c r="K30" i="5"/>
  <c r="H17" i="6"/>
  <c r="Q36" i="5"/>
  <c r="P27" i="5"/>
  <c r="E19" i="3"/>
  <c r="E22" i="3"/>
  <c r="H20" i="3"/>
  <c r="P16" i="3"/>
  <c r="L128" i="6"/>
  <c r="L23" i="6"/>
  <c r="N198" i="3"/>
  <c r="O16" i="3"/>
  <c r="N19" i="3"/>
  <c r="H136" i="6"/>
  <c r="H32" i="6"/>
  <c r="H17" i="5"/>
  <c r="Q20" i="5"/>
  <c r="J128" i="5"/>
  <c r="I129" i="5"/>
  <c r="J23" i="5"/>
  <c r="E141" i="6"/>
  <c r="F36" i="6"/>
  <c r="P128" i="5"/>
  <c r="P23" i="5"/>
  <c r="N132" i="6"/>
  <c r="O27" i="6"/>
  <c r="M36" i="5"/>
  <c r="G19" i="5"/>
  <c r="I198" i="3"/>
  <c r="J16" i="3"/>
  <c r="P13" i="5"/>
  <c r="N133" i="5"/>
  <c r="O28" i="5"/>
  <c r="J136" i="5"/>
  <c r="I137" i="5"/>
  <c r="J32" i="5"/>
  <c r="P18" i="5"/>
  <c r="N131" i="6"/>
  <c r="O130" i="6"/>
  <c r="O26" i="6"/>
  <c r="N129" i="5"/>
  <c r="O128" i="5"/>
  <c r="O23" i="5"/>
  <c r="N123" i="5"/>
  <c r="O17" i="5"/>
  <c r="M139" i="6"/>
  <c r="M35" i="6"/>
  <c r="K17" i="5"/>
  <c r="G130" i="6"/>
  <c r="G26" i="6"/>
  <c r="G14" i="6"/>
  <c r="G14" i="5"/>
  <c r="P13" i="6"/>
  <c r="L20" i="5"/>
  <c r="O121" i="6"/>
  <c r="N122" i="6"/>
  <c r="O16" i="6"/>
  <c r="O121" i="5"/>
  <c r="N122" i="5"/>
  <c r="O16" i="5"/>
  <c r="K13" i="5"/>
  <c r="Q13" i="3"/>
  <c r="J121" i="6"/>
  <c r="I122" i="6"/>
  <c r="J16" i="6"/>
  <c r="I142" i="6"/>
  <c r="J37" i="6"/>
  <c r="H14" i="5"/>
  <c r="L30" i="6"/>
  <c r="E131" i="5"/>
  <c r="F130" i="5"/>
  <c r="F26" i="5"/>
  <c r="E218" i="3"/>
  <c r="N133" i="6"/>
  <c r="O28" i="6"/>
  <c r="N142" i="5"/>
  <c r="O37" i="5"/>
  <c r="N211" i="3"/>
  <c r="K128" i="6"/>
  <c r="K23" i="6"/>
  <c r="K139" i="5"/>
  <c r="K35" i="5"/>
  <c r="H30" i="5"/>
  <c r="H13" i="3"/>
  <c r="Q30" i="5"/>
  <c r="D160" i="6"/>
  <c r="P20" i="6"/>
  <c r="E39" i="9"/>
  <c r="D146" i="6"/>
  <c r="I133" i="6"/>
  <c r="J28" i="6"/>
  <c r="I19" i="3"/>
  <c r="I22" i="3"/>
  <c r="G29" i="6"/>
  <c r="G130" i="5"/>
  <c r="G26" i="5"/>
  <c r="N127" i="6"/>
  <c r="O21" i="6"/>
  <c r="N141" i="5"/>
  <c r="O36" i="5"/>
  <c r="M19" i="5"/>
  <c r="I141" i="6"/>
  <c r="J36" i="6"/>
  <c r="N235" i="3"/>
  <c r="L36" i="6"/>
  <c r="Q37" i="5"/>
  <c r="G17" i="5"/>
  <c r="P37" i="5"/>
  <c r="E126" i="6"/>
  <c r="F20" i="6"/>
  <c r="E215" i="3"/>
  <c r="N131" i="5"/>
  <c r="O130" i="5"/>
  <c r="O26" i="5"/>
  <c r="N132" i="5"/>
  <c r="O27" i="5"/>
  <c r="M17" i="5"/>
  <c r="K136" i="6"/>
  <c r="K32" i="6"/>
  <c r="K121" i="5"/>
  <c r="K16" i="5"/>
  <c r="H36" i="6"/>
  <c r="Q30" i="6"/>
  <c r="D155" i="6"/>
  <c r="K130" i="5"/>
  <c r="K26" i="5"/>
  <c r="I119" i="6"/>
  <c r="J13" i="6"/>
  <c r="Q13" i="6"/>
  <c r="L29" i="5"/>
  <c r="L36" i="5"/>
  <c r="Q27" i="6"/>
  <c r="E133" i="5"/>
  <c r="F28" i="5"/>
  <c r="G36" i="6"/>
  <c r="G139" i="5"/>
  <c r="G35" i="5"/>
  <c r="P36" i="5"/>
  <c r="L121" i="6"/>
  <c r="L16" i="6"/>
  <c r="L13" i="3"/>
  <c r="E142" i="6"/>
  <c r="F37" i="6"/>
  <c r="D148" i="5"/>
  <c r="H30" i="6"/>
  <c r="Q18" i="5"/>
  <c r="I122" i="5"/>
  <c r="J121" i="5"/>
  <c r="J16" i="5"/>
  <c r="L20" i="6"/>
  <c r="K128" i="5"/>
  <c r="K23" i="5"/>
  <c r="K18" i="6"/>
  <c r="F117" i="6"/>
  <c r="E118" i="6"/>
  <c r="F12" i="6"/>
  <c r="D147" i="6"/>
  <c r="D147" i="5"/>
  <c r="M20" i="5"/>
  <c r="H139" i="5"/>
  <c r="H35" i="5"/>
  <c r="Q33" i="5"/>
  <c r="I17" i="3"/>
  <c r="J136" i="6"/>
  <c r="I137" i="6"/>
  <c r="J32" i="6"/>
  <c r="G33" i="5"/>
  <c r="P29" i="5"/>
  <c r="P13" i="3"/>
  <c r="M130" i="5"/>
  <c r="M26" i="5"/>
  <c r="I125" i="6"/>
  <c r="J19" i="6"/>
  <c r="H29" i="5"/>
  <c r="I124" i="5"/>
  <c r="J18" i="5"/>
  <c r="I21" i="3"/>
  <c r="L130" i="5"/>
  <c r="L26" i="5"/>
  <c r="K20" i="5"/>
  <c r="H37" i="5"/>
  <c r="G17" i="6"/>
  <c r="P18" i="6"/>
  <c r="P14" i="5"/>
  <c r="L130" i="6"/>
  <c r="L26" i="6"/>
  <c r="E140" i="6"/>
  <c r="F139" i="6"/>
  <c r="F35" i="6"/>
  <c r="F13" i="3"/>
  <c r="D159" i="6"/>
  <c r="D146" i="5"/>
  <c r="D151" i="5"/>
  <c r="N218" i="3"/>
  <c r="M28" i="6"/>
  <c r="M121" i="5"/>
  <c r="M16" i="5"/>
  <c r="K13" i="6"/>
  <c r="H21" i="5"/>
  <c r="Q19" i="5"/>
  <c r="N135" i="6"/>
  <c r="O30" i="6"/>
  <c r="P17" i="6"/>
  <c r="L21" i="6"/>
  <c r="E120" i="6"/>
  <c r="F14" i="6"/>
  <c r="D152" i="6"/>
  <c r="K139" i="6"/>
  <c r="K35" i="6"/>
  <c r="K19" i="5"/>
  <c r="H14" i="6"/>
  <c r="Q37" i="6"/>
  <c r="Q17" i="5"/>
  <c r="I138" i="5"/>
  <c r="J33" i="5"/>
  <c r="F121" i="6"/>
  <c r="E122" i="6"/>
  <c r="F16" i="6"/>
  <c r="M27" i="6"/>
  <c r="L27" i="5"/>
  <c r="E141" i="5"/>
  <c r="F36" i="5"/>
  <c r="D154" i="5"/>
  <c r="H18" i="6"/>
  <c r="Q29" i="6"/>
  <c r="Q139" i="5"/>
  <c r="Q35" i="5"/>
  <c r="I119" i="5"/>
  <c r="J13" i="5"/>
  <c r="P19" i="6"/>
  <c r="E18" i="3"/>
  <c r="M18" i="5"/>
  <c r="L19" i="5"/>
  <c r="F136" i="6"/>
  <c r="E137" i="6"/>
  <c r="F32" i="6"/>
  <c r="K17" i="6"/>
  <c r="H27" i="5"/>
  <c r="Q121" i="6"/>
  <c r="Q16" i="6"/>
  <c r="Q13" i="5"/>
  <c r="I127" i="5"/>
  <c r="J21" i="5"/>
  <c r="I193" i="3"/>
  <c r="I205" i="3"/>
  <c r="J20" i="3"/>
  <c r="L117" i="5"/>
  <c r="L12" i="5"/>
  <c r="N196" i="3"/>
  <c r="J128" i="6"/>
  <c r="I129" i="6"/>
  <c r="J23" i="6"/>
  <c r="E211" i="3"/>
  <c r="E191" i="3"/>
  <c r="P17" i="5"/>
  <c r="G20" i="6"/>
  <c r="M130" i="6"/>
  <c r="M26" i="6"/>
  <c r="M37" i="5"/>
  <c r="E123" i="6"/>
  <c r="F17" i="6"/>
  <c r="J130" i="6"/>
  <c r="I131" i="6"/>
  <c r="J26" i="6"/>
  <c r="G21" i="6"/>
  <c r="G121" i="5"/>
  <c r="G16" i="5"/>
  <c r="P19" i="5"/>
  <c r="E12" i="9"/>
  <c r="E41" i="9"/>
  <c r="D155" i="5"/>
  <c r="M21" i="6"/>
  <c r="M33" i="5"/>
  <c r="K117" i="6"/>
  <c r="K12" i="6"/>
  <c r="M136" i="5"/>
  <c r="M32" i="5"/>
  <c r="H19" i="6"/>
  <c r="I120" i="5"/>
  <c r="J14" i="5"/>
  <c r="H128" i="6"/>
  <c r="H23" i="6"/>
  <c r="Q21" i="6"/>
  <c r="M17" i="6"/>
  <c r="Q130" i="6"/>
  <c r="Q26" i="6"/>
  <c r="M117" i="5"/>
  <c r="M12" i="5"/>
  <c r="G136" i="5"/>
  <c r="G32" i="5"/>
  <c r="P27" i="6"/>
  <c r="E132" i="6"/>
  <c r="F27" i="6"/>
  <c r="N123" i="6"/>
  <c r="O17" i="6"/>
  <c r="N125" i="5"/>
  <c r="O19" i="5"/>
  <c r="M128" i="6"/>
  <c r="M23" i="6"/>
  <c r="K117" i="5"/>
  <c r="K12" i="5"/>
  <c r="H121" i="5"/>
  <c r="H16" i="5"/>
  <c r="E138" i="5"/>
  <c r="F33" i="5"/>
  <c r="I141" i="5"/>
  <c r="J36" i="5"/>
  <c r="H16" i="3"/>
  <c r="P121" i="5"/>
  <c r="P16" i="5"/>
  <c r="L136" i="6"/>
  <c r="L32" i="6"/>
  <c r="E129" i="6"/>
  <c r="F128" i="6"/>
  <c r="F23" i="6"/>
  <c r="K14" i="6"/>
  <c r="H36" i="5"/>
  <c r="Q136" i="6"/>
  <c r="Q32" i="6"/>
  <c r="I131" i="5"/>
  <c r="J130" i="5"/>
  <c r="J26" i="5"/>
  <c r="Q121" i="5"/>
  <c r="Q16" i="5"/>
  <c r="M30" i="5"/>
  <c r="L17" i="6"/>
  <c r="L128" i="5"/>
  <c r="L23" i="5"/>
  <c r="E125" i="6"/>
  <c r="F19" i="6"/>
  <c r="F12" i="9"/>
  <c r="H21" i="6"/>
  <c r="Q36" i="6"/>
  <c r="I118" i="6"/>
  <c r="J117" i="6"/>
  <c r="J12" i="6"/>
  <c r="L37" i="6"/>
  <c r="L37" i="5"/>
  <c r="N18" i="3"/>
  <c r="N191" i="3"/>
  <c r="O13" i="3"/>
  <c r="N134" i="5"/>
  <c r="O29" i="5"/>
  <c r="G121" i="6"/>
  <c r="G16" i="6"/>
  <c r="K30" i="6"/>
  <c r="M29" i="5"/>
  <c r="P30" i="6"/>
  <c r="I135" i="6"/>
  <c r="J30" i="6"/>
  <c r="L16" i="3"/>
  <c r="H136" i="5"/>
  <c r="H32" i="5"/>
  <c r="G27" i="5"/>
  <c r="M37" i="6"/>
  <c r="L136" i="5"/>
  <c r="L32" i="5"/>
  <c r="E140" i="5"/>
  <c r="F139" i="5"/>
  <c r="F35" i="5"/>
  <c r="N141" i="6"/>
  <c r="O36" i="6"/>
  <c r="N129" i="6"/>
  <c r="O128" i="6"/>
  <c r="O23" i="6"/>
  <c r="N137" i="5"/>
  <c r="O136" i="5"/>
  <c r="O32" i="5"/>
  <c r="N215" i="3"/>
  <c r="M14" i="5"/>
  <c r="K27" i="6"/>
  <c r="I126" i="5"/>
  <c r="J20" i="5"/>
  <c r="P130" i="6"/>
  <c r="P26" i="6"/>
  <c r="K13" i="3"/>
  <c r="G28" i="5"/>
  <c r="G18" i="5"/>
  <c r="G13" i="6"/>
  <c r="P20" i="5"/>
  <c r="L19" i="6"/>
  <c r="L28" i="5"/>
  <c r="E118" i="5"/>
  <c r="F117" i="5"/>
  <c r="F12" i="5"/>
  <c r="E205" i="3"/>
  <c r="F20" i="3"/>
  <c r="N142" i="6"/>
  <c r="O37" i="6"/>
  <c r="O117" i="6"/>
  <c r="N118" i="6"/>
  <c r="O12" i="6"/>
  <c r="N135" i="5"/>
  <c r="O30" i="5"/>
  <c r="M27" i="5"/>
  <c r="K21" i="6"/>
  <c r="I235" i="3"/>
  <c r="P136" i="5"/>
  <c r="P32" i="5"/>
  <c r="N119" i="5"/>
  <c r="O13" i="5"/>
  <c r="K36" i="6"/>
  <c r="N124" i="5"/>
  <c r="O18" i="5"/>
  <c r="K136" i="5"/>
  <c r="K32" i="5"/>
  <c r="L139" i="6"/>
  <c r="L35" i="6"/>
  <c r="L121" i="5"/>
  <c r="L16" i="5"/>
  <c r="N140" i="6"/>
  <c r="O139" i="6"/>
  <c r="O35" i="6"/>
  <c r="N119" i="6"/>
  <c r="O13" i="6"/>
  <c r="N127" i="5"/>
  <c r="O21" i="5"/>
  <c r="K33" i="5"/>
  <c r="H121" i="6"/>
  <c r="H16" i="6"/>
  <c r="H128" i="5"/>
  <c r="H23" i="5"/>
  <c r="Q19" i="6"/>
  <c r="I138" i="6"/>
  <c r="J33" i="6"/>
  <c r="I18" i="3"/>
  <c r="I142" i="5"/>
  <c r="J37" i="5"/>
  <c r="P33" i="5"/>
  <c r="E119" i="6"/>
  <c r="F13" i="6"/>
  <c r="N124" i="6"/>
  <c r="O18" i="6"/>
  <c r="F128" i="5"/>
  <c r="E129" i="5"/>
  <c r="F23" i="5"/>
  <c r="N21" i="3"/>
  <c r="M139" i="5"/>
  <c r="M35" i="5"/>
  <c r="L13" i="6"/>
  <c r="Q14" i="6"/>
  <c r="G21" i="5"/>
  <c r="G20" i="3"/>
  <c r="E119" i="5"/>
  <c r="F13" i="5"/>
  <c r="N134" i="6"/>
  <c r="O29" i="6"/>
  <c r="N140" i="5"/>
  <c r="O139" i="5"/>
  <c r="O35" i="5"/>
  <c r="O117" i="5"/>
  <c r="N118" i="5"/>
  <c r="O12" i="5"/>
  <c r="M29" i="6"/>
  <c r="G18" i="6"/>
  <c r="P136" i="6"/>
  <c r="P32" i="6"/>
  <c r="P30" i="5"/>
  <c r="E132" i="5"/>
  <c r="F27" i="5"/>
  <c r="N125" i="6"/>
  <c r="O19" i="6"/>
  <c r="N138" i="5"/>
  <c r="O33" i="5"/>
  <c r="N17" i="3"/>
  <c r="M18" i="6"/>
  <c r="K20" i="6"/>
  <c r="I123" i="5"/>
  <c r="J17" i="5"/>
  <c r="I134" i="6"/>
  <c r="J29" i="6"/>
  <c r="N126" i="6"/>
  <c r="O20" i="6"/>
  <c r="M13" i="3"/>
  <c r="H13" i="5"/>
  <c r="H33" i="5"/>
  <c r="E196" i="3"/>
  <c r="G28" i="6"/>
  <c r="P29" i="6"/>
  <c r="E134" i="5"/>
  <c r="F29" i="5"/>
  <c r="Q28" i="5"/>
  <c r="H28" i="5"/>
  <c r="Q20" i="6"/>
  <c r="G19" i="6"/>
  <c r="P28" i="6"/>
  <c r="L17" i="5"/>
  <c r="H18" i="5"/>
  <c r="Q139" i="6"/>
  <c r="Q35" i="6"/>
  <c r="E122" i="5"/>
  <c r="F121" i="5"/>
  <c r="F16" i="5"/>
  <c r="Q128" i="6"/>
  <c r="Q23" i="6"/>
  <c r="H117" i="6"/>
  <c r="H12" i="6"/>
  <c r="G13" i="3"/>
  <c r="D144" i="6"/>
  <c r="M33" i="6"/>
  <c r="H27" i="6"/>
  <c r="H130" i="5"/>
  <c r="H26" i="5"/>
  <c r="Q33" i="6"/>
  <c r="J139" i="6"/>
  <c r="I140" i="6"/>
  <c r="J35" i="6"/>
  <c r="P21" i="5"/>
  <c r="G139" i="6"/>
  <c r="G35" i="6"/>
  <c r="G37" i="5"/>
  <c r="P117" i="6"/>
  <c r="P12" i="6"/>
  <c r="E131" i="6"/>
  <c r="F130" i="6"/>
  <c r="F26" i="6"/>
  <c r="D161" i="6"/>
  <c r="M13" i="6"/>
  <c r="I125" i="5"/>
  <c r="J19" i="5"/>
  <c r="Q27" i="5"/>
  <c r="D149" i="6"/>
  <c r="K33" i="6"/>
  <c r="Q117" i="5"/>
  <c r="Q12" i="5"/>
  <c r="G117" i="5"/>
  <c r="G12" i="5"/>
  <c r="P37" i="6"/>
  <c r="L33" i="6"/>
  <c r="L139" i="5"/>
  <c r="L35" i="5"/>
  <c r="D148" i="6"/>
  <c r="D150" i="5"/>
  <c r="M36" i="6"/>
  <c r="K37" i="6"/>
  <c r="K29" i="5"/>
  <c r="P33" i="6"/>
  <c r="P117" i="5"/>
  <c r="P12" i="5"/>
  <c r="L30" i="5"/>
  <c r="D157" i="6"/>
  <c r="D144" i="5"/>
  <c r="M20" i="3"/>
  <c r="K28" i="6"/>
  <c r="H33" i="6"/>
  <c r="H117" i="5"/>
  <c r="H12" i="5"/>
  <c r="Q128" i="5"/>
  <c r="Q23" i="5"/>
  <c r="I120" i="6"/>
  <c r="J14" i="6"/>
  <c r="I191" i="3"/>
  <c r="J117" i="5"/>
  <c r="I118" i="5"/>
  <c r="J12" i="5"/>
  <c r="L27" i="6"/>
  <c r="D150" i="6"/>
  <c r="H19" i="5"/>
  <c r="Q17" i="6"/>
  <c r="L33" i="5"/>
  <c r="I218" i="3"/>
  <c r="H116" i="5" l="1"/>
  <c r="G11" i="5"/>
  <c r="H11" i="6"/>
  <c r="E121" i="5"/>
  <c r="E27" i="5"/>
  <c r="N35" i="5"/>
  <c r="O34" i="5"/>
  <c r="I33" i="6"/>
  <c r="H15" i="6"/>
  <c r="N13" i="6"/>
  <c r="N18" i="5"/>
  <c r="P31" i="5"/>
  <c r="N37" i="6"/>
  <c r="E35" i="5"/>
  <c r="F34" i="5"/>
  <c r="I30" i="6"/>
  <c r="D30" i="6" s="1"/>
  <c r="J25" i="5"/>
  <c r="I26" i="5"/>
  <c r="K11" i="5"/>
  <c r="Q34" i="5"/>
  <c r="E36" i="5"/>
  <c r="L25" i="5"/>
  <c r="L15" i="6"/>
  <c r="K25" i="5"/>
  <c r="K15" i="5"/>
  <c r="N27" i="5"/>
  <c r="K34" i="5"/>
  <c r="N37" i="5"/>
  <c r="F25" i="5"/>
  <c r="E26" i="5"/>
  <c r="I37" i="6"/>
  <c r="O15" i="6"/>
  <c r="N16" i="6"/>
  <c r="N128" i="5"/>
  <c r="G116" i="6"/>
  <c r="F31" i="5"/>
  <c r="E32" i="5"/>
  <c r="E17" i="5"/>
  <c r="I30" i="5"/>
  <c r="N14" i="6"/>
  <c r="E30" i="6"/>
  <c r="E37" i="5"/>
  <c r="L11" i="6"/>
  <c r="I14" i="6"/>
  <c r="L34" i="5"/>
  <c r="G116" i="5"/>
  <c r="F25" i="6"/>
  <c r="E26" i="6"/>
  <c r="D26" i="6" s="1"/>
  <c r="I139" i="6"/>
  <c r="H116" i="6"/>
  <c r="I17" i="5"/>
  <c r="N139" i="5"/>
  <c r="N30" i="5"/>
  <c r="P25" i="6"/>
  <c r="O22" i="6"/>
  <c r="N23" i="6"/>
  <c r="G15" i="6"/>
  <c r="J11" i="6"/>
  <c r="I12" i="6"/>
  <c r="F11" i="9"/>
  <c r="I130" i="5"/>
  <c r="K116" i="5"/>
  <c r="N17" i="6"/>
  <c r="G31" i="5"/>
  <c r="I14" i="5"/>
  <c r="K11" i="6"/>
  <c r="F31" i="6"/>
  <c r="E32" i="6"/>
  <c r="N30" i="6"/>
  <c r="E139" i="6"/>
  <c r="I136" i="6"/>
  <c r="E117" i="6"/>
  <c r="F116" i="6"/>
  <c r="I16" i="5"/>
  <c r="J15" i="5"/>
  <c r="E20" i="6"/>
  <c r="G25" i="5"/>
  <c r="I28" i="6"/>
  <c r="E130" i="5"/>
  <c r="M34" i="6"/>
  <c r="J31" i="5"/>
  <c r="I32" i="5"/>
  <c r="N27" i="6"/>
  <c r="O31" i="6"/>
  <c r="N32" i="6"/>
  <c r="K15" i="6"/>
  <c r="E136" i="5"/>
  <c r="Q11" i="6"/>
  <c r="E28" i="6"/>
  <c r="P34" i="6"/>
  <c r="I29" i="5"/>
  <c r="M11" i="6"/>
  <c r="E130" i="6"/>
  <c r="G34" i="6"/>
  <c r="Q34" i="6"/>
  <c r="N33" i="5"/>
  <c r="M34" i="5"/>
  <c r="E128" i="5"/>
  <c r="L34" i="6"/>
  <c r="N128" i="6"/>
  <c r="E139" i="5"/>
  <c r="J116" i="6"/>
  <c r="I117" i="6"/>
  <c r="P15" i="5"/>
  <c r="E33" i="5"/>
  <c r="K116" i="6"/>
  <c r="E11" i="9"/>
  <c r="I128" i="6"/>
  <c r="I20" i="3"/>
  <c r="Q15" i="6"/>
  <c r="E121" i="6"/>
  <c r="E14" i="6"/>
  <c r="M15" i="5"/>
  <c r="I19" i="6"/>
  <c r="I121" i="5"/>
  <c r="E37" i="6"/>
  <c r="E28" i="5"/>
  <c r="J22" i="5"/>
  <c r="I23" i="5"/>
  <c r="H31" i="6"/>
  <c r="L22" i="6"/>
  <c r="N136" i="6"/>
  <c r="P25" i="5"/>
  <c r="I35" i="5"/>
  <c r="J34" i="5"/>
  <c r="E19" i="5"/>
  <c r="G22" i="5"/>
  <c r="I18" i="6"/>
  <c r="L116" i="6"/>
  <c r="M22" i="5"/>
  <c r="J11" i="5"/>
  <c r="I12" i="5"/>
  <c r="Q11" i="5"/>
  <c r="I19" i="5"/>
  <c r="Q22" i="6"/>
  <c r="E29" i="5"/>
  <c r="N20" i="6"/>
  <c r="N18" i="6"/>
  <c r="I37" i="5"/>
  <c r="O34" i="6"/>
  <c r="N35" i="6"/>
  <c r="H31" i="5"/>
  <c r="E19" i="6"/>
  <c r="F22" i="6"/>
  <c r="E23" i="6"/>
  <c r="M22" i="6"/>
  <c r="J25" i="6"/>
  <c r="I26" i="6"/>
  <c r="I33" i="5"/>
  <c r="L25" i="6"/>
  <c r="K31" i="6"/>
  <c r="O25" i="5"/>
  <c r="N26" i="5"/>
  <c r="D26" i="5"/>
  <c r="N36" i="5"/>
  <c r="K22" i="6"/>
  <c r="N28" i="6"/>
  <c r="D28" i="6"/>
  <c r="J15" i="6"/>
  <c r="I16" i="6"/>
  <c r="N121" i="6"/>
  <c r="N26" i="6"/>
  <c r="O25" i="6"/>
  <c r="I136" i="5"/>
  <c r="I16" i="3"/>
  <c r="N20" i="5"/>
  <c r="I139" i="5"/>
  <c r="Q31" i="5"/>
  <c r="Q116" i="6"/>
  <c r="M116" i="6"/>
  <c r="M31" i="6"/>
  <c r="E30" i="5"/>
  <c r="N20" i="3"/>
  <c r="I27" i="5"/>
  <c r="H34" i="6"/>
  <c r="I28" i="5"/>
  <c r="D28" i="5" s="1"/>
  <c r="E16" i="3"/>
  <c r="E18" i="6"/>
  <c r="Q22" i="5"/>
  <c r="P11" i="5"/>
  <c r="Q116" i="5"/>
  <c r="O11" i="5"/>
  <c r="N12" i="5"/>
  <c r="N29" i="6"/>
  <c r="N139" i="6"/>
  <c r="N12" i="6"/>
  <c r="O11" i="6"/>
  <c r="E20" i="3"/>
  <c r="I20" i="5"/>
  <c r="L31" i="5"/>
  <c r="N29" i="5"/>
  <c r="Q31" i="6"/>
  <c r="E128" i="6"/>
  <c r="E27" i="6"/>
  <c r="M11" i="5"/>
  <c r="M25" i="6"/>
  <c r="E13" i="3"/>
  <c r="E136" i="6"/>
  <c r="K22" i="5"/>
  <c r="N130" i="5"/>
  <c r="O15" i="5"/>
  <c r="N16" i="5"/>
  <c r="G25" i="6"/>
  <c r="D17" i="5"/>
  <c r="N17" i="5"/>
  <c r="N130" i="6"/>
  <c r="P22" i="5"/>
  <c r="P15" i="6"/>
  <c r="E14" i="5"/>
  <c r="N33" i="6"/>
  <c r="I20" i="6"/>
  <c r="I17" i="6"/>
  <c r="I21" i="6"/>
  <c r="P22" i="6"/>
  <c r="P116" i="5"/>
  <c r="P11" i="6"/>
  <c r="H25" i="5"/>
  <c r="N19" i="6"/>
  <c r="P31" i="6"/>
  <c r="H22" i="5"/>
  <c r="N21" i="5"/>
  <c r="K31" i="5"/>
  <c r="N13" i="5"/>
  <c r="O31" i="5"/>
  <c r="D32" i="5"/>
  <c r="N32" i="5"/>
  <c r="N36" i="6"/>
  <c r="Q15" i="5"/>
  <c r="H15" i="5"/>
  <c r="M116" i="5"/>
  <c r="I130" i="6"/>
  <c r="L11" i="5"/>
  <c r="I21" i="5"/>
  <c r="I13" i="5"/>
  <c r="I18" i="5"/>
  <c r="M25" i="5"/>
  <c r="G34" i="5"/>
  <c r="I13" i="6"/>
  <c r="E38" i="9"/>
  <c r="E40" i="9"/>
  <c r="N28" i="5"/>
  <c r="I128" i="5"/>
  <c r="E21" i="5"/>
  <c r="E18" i="5"/>
  <c r="E33" i="6"/>
  <c r="I27" i="6"/>
  <c r="I117" i="5"/>
  <c r="J116" i="5"/>
  <c r="P116" i="6"/>
  <c r="F15" i="5"/>
  <c r="E16" i="5"/>
  <c r="I29" i="6"/>
  <c r="E13" i="6"/>
  <c r="E12" i="5"/>
  <c r="F11" i="5"/>
  <c r="N136" i="5"/>
  <c r="L22" i="5"/>
  <c r="D19" i="5"/>
  <c r="N19" i="5"/>
  <c r="H22" i="6"/>
  <c r="M31" i="5"/>
  <c r="G15" i="5"/>
  <c r="K34" i="6"/>
  <c r="E12" i="6"/>
  <c r="F11" i="6"/>
  <c r="I36" i="6"/>
  <c r="N21" i="6"/>
  <c r="I121" i="6"/>
  <c r="K25" i="6"/>
  <c r="N14" i="5"/>
  <c r="D14" i="5"/>
  <c r="G11" i="6"/>
  <c r="H25" i="6"/>
  <c r="G22" i="6"/>
  <c r="E29" i="6"/>
  <c r="E20" i="5"/>
  <c r="I13" i="3"/>
  <c r="H11" i="5"/>
  <c r="J34" i="6"/>
  <c r="I35" i="6"/>
  <c r="O116" i="5"/>
  <c r="N117" i="5"/>
  <c r="E13" i="5"/>
  <c r="E23" i="5"/>
  <c r="F22" i="5"/>
  <c r="L15" i="5"/>
  <c r="N117" i="6"/>
  <c r="O116" i="6"/>
  <c r="E117" i="5"/>
  <c r="F116" i="5"/>
  <c r="N13" i="3"/>
  <c r="L31" i="6"/>
  <c r="I36" i="5"/>
  <c r="Q25" i="6"/>
  <c r="E17" i="6"/>
  <c r="I23" i="6"/>
  <c r="J22" i="6"/>
  <c r="L116" i="5"/>
  <c r="F15" i="6"/>
  <c r="E16" i="6"/>
  <c r="E35" i="6"/>
  <c r="F34" i="6"/>
  <c r="I32" i="6"/>
  <c r="J31" i="6"/>
  <c r="H34" i="5"/>
  <c r="N121" i="5"/>
  <c r="D23" i="5"/>
  <c r="O22" i="5"/>
  <c r="N23" i="5"/>
  <c r="E36" i="6"/>
  <c r="N16" i="3"/>
  <c r="M15" i="6"/>
  <c r="G31" i="6"/>
  <c r="Q25" i="5"/>
  <c r="P34" i="5"/>
  <c r="E21" i="6"/>
  <c r="D19" i="6" l="1"/>
  <c r="D29" i="5"/>
  <c r="E34" i="6"/>
  <c r="I22" i="6"/>
  <c r="O164" i="6"/>
  <c r="N116" i="6"/>
  <c r="H10" i="5"/>
  <c r="N31" i="5"/>
  <c r="D21" i="5"/>
  <c r="E55" i="10"/>
  <c r="D12" i="6"/>
  <c r="D12" i="5"/>
  <c r="I15" i="6"/>
  <c r="D35" i="6"/>
  <c r="D20" i="6"/>
  <c r="L164" i="6"/>
  <c r="I34" i="5"/>
  <c r="D34" i="5" s="1"/>
  <c r="Q10" i="6"/>
  <c r="L10" i="6"/>
  <c r="G164" i="6"/>
  <c r="E34" i="5"/>
  <c r="J164" i="5"/>
  <c r="L10" i="5"/>
  <c r="N15" i="5"/>
  <c r="M164" i="6"/>
  <c r="N25" i="6"/>
  <c r="Q10" i="5"/>
  <c r="D33" i="5"/>
  <c r="M10" i="6"/>
  <c r="N31" i="6"/>
  <c r="E31" i="6"/>
  <c r="N22" i="6"/>
  <c r="E25" i="6"/>
  <c r="K10" i="5"/>
  <c r="D18" i="5"/>
  <c r="D36" i="6"/>
  <c r="P10" i="6"/>
  <c r="O10" i="5"/>
  <c r="N11" i="5"/>
  <c r="D20" i="5"/>
  <c r="E22" i="6"/>
  <c r="N34" i="6"/>
  <c r="D27" i="6"/>
  <c r="I15" i="5"/>
  <c r="D17" i="6"/>
  <c r="N34" i="5"/>
  <c r="H10" i="6"/>
  <c r="I116" i="5"/>
  <c r="D13" i="5"/>
  <c r="Q164" i="5"/>
  <c r="I116" i="6"/>
  <c r="K10" i="6"/>
  <c r="K164" i="5"/>
  <c r="I11" i="6"/>
  <c r="J10" i="6"/>
  <c r="H164" i="6"/>
  <c r="G164" i="5"/>
  <c r="E25" i="5"/>
  <c r="D37" i="6"/>
  <c r="O164" i="5"/>
  <c r="N116" i="5"/>
  <c r="E11" i="6"/>
  <c r="D11" i="6" s="1"/>
  <c r="F10" i="6"/>
  <c r="D29" i="6"/>
  <c r="Q164" i="6"/>
  <c r="N25" i="5"/>
  <c r="I11" i="5"/>
  <c r="J10" i="5"/>
  <c r="I22" i="5"/>
  <c r="K164" i="6"/>
  <c r="J164" i="6"/>
  <c r="D16" i="6"/>
  <c r="D27" i="5"/>
  <c r="I25" i="5"/>
  <c r="D13" i="6"/>
  <c r="D35" i="5"/>
  <c r="E15" i="6"/>
  <c r="D15" i="6" s="1"/>
  <c r="F164" i="5"/>
  <c r="E22" i="5"/>
  <c r="G10" i="6"/>
  <c r="F10" i="5"/>
  <c r="E11" i="5"/>
  <c r="E15" i="5"/>
  <c r="M164" i="5"/>
  <c r="P164" i="5"/>
  <c r="M10" i="5"/>
  <c r="P10" i="5"/>
  <c r="I25" i="6"/>
  <c r="F164" i="6"/>
  <c r="G10" i="5"/>
  <c r="I31" i="6"/>
  <c r="O10" i="6"/>
  <c r="N11" i="6"/>
  <c r="D36" i="5"/>
  <c r="D18" i="6"/>
  <c r="D32" i="6"/>
  <c r="I31" i="5"/>
  <c r="D30" i="5"/>
  <c r="N15" i="6"/>
  <c r="L164" i="5"/>
  <c r="E116" i="5"/>
  <c r="D22" i="5"/>
  <c r="N22" i="5"/>
  <c r="I34" i="6"/>
  <c r="D21" i="6"/>
  <c r="P164" i="6"/>
  <c r="D33" i="6"/>
  <c r="D16" i="5"/>
  <c r="E116" i="6"/>
  <c r="D23" i="6"/>
  <c r="D14" i="6"/>
  <c r="E31" i="5"/>
  <c r="D37" i="5"/>
  <c r="H164" i="5"/>
  <c r="L243" i="3" l="1"/>
  <c r="D40" i="4"/>
  <c r="E10" i="5"/>
  <c r="E164" i="5"/>
  <c r="F243" i="3"/>
  <c r="I10" i="5"/>
  <c r="G243" i="3"/>
  <c r="K243" i="3"/>
  <c r="D55" i="4"/>
  <c r="I164" i="6"/>
  <c r="E10" i="6"/>
  <c r="D15" i="4"/>
  <c r="D15" i="5"/>
  <c r="E54" i="10"/>
  <c r="E164" i="6"/>
  <c r="P243" i="3"/>
  <c r="D53" i="4"/>
  <c r="N10" i="5"/>
  <c r="D38" i="4"/>
  <c r="D25" i="6"/>
  <c r="D39" i="4"/>
  <c r="D16" i="4"/>
  <c r="N164" i="6"/>
  <c r="D25" i="5"/>
  <c r="D31" i="6"/>
  <c r="N10" i="6"/>
  <c r="D30" i="4"/>
  <c r="M243" i="3"/>
  <c r="N164" i="5"/>
  <c r="O243" i="3"/>
  <c r="D14" i="4"/>
  <c r="D34" i="6"/>
  <c r="D11" i="5"/>
  <c r="I164" i="5"/>
  <c r="J243" i="3"/>
  <c r="D32" i="4"/>
  <c r="D31" i="4"/>
  <c r="D22" i="6"/>
  <c r="D17" i="4"/>
  <c r="D31" i="5"/>
  <c r="H243" i="3"/>
  <c r="D54" i="4"/>
  <c r="D37" i="4"/>
  <c r="I10" i="6"/>
  <c r="Q243" i="3"/>
  <c r="N243" i="3" l="1"/>
  <c r="O204" i="3"/>
  <c r="K204" i="3"/>
  <c r="D13" i="4"/>
  <c r="P204" i="3"/>
  <c r="I243" i="3"/>
  <c r="J204" i="3"/>
  <c r="D164" i="5"/>
  <c r="D12" i="4"/>
  <c r="G204" i="3"/>
  <c r="D35" i="4"/>
  <c r="D10" i="5"/>
  <c r="M204" i="3"/>
  <c r="D10" i="6"/>
  <c r="D36" i="4"/>
  <c r="D52" i="4"/>
  <c r="D29" i="4"/>
  <c r="L204" i="3"/>
  <c r="Q204" i="3"/>
  <c r="H204" i="3"/>
  <c r="D164" i="6"/>
  <c r="E243" i="3"/>
  <c r="F204" i="3"/>
  <c r="K190" i="3" l="1"/>
  <c r="E204" i="3"/>
  <c r="F190" i="3"/>
  <c r="I204" i="3"/>
  <c r="J190" i="3"/>
  <c r="N204" i="3"/>
  <c r="O190" i="3"/>
  <c r="M190" i="3"/>
  <c r="L190" i="3"/>
  <c r="D34" i="4"/>
  <c r="D243" i="3"/>
  <c r="Q190" i="3"/>
  <c r="D11" i="4"/>
  <c r="G190" i="3"/>
  <c r="P190" i="3"/>
  <c r="H190" i="3"/>
  <c r="G27" i="3" l="1"/>
  <c r="G23" i="3"/>
  <c r="M27" i="3"/>
  <c r="M23" i="3"/>
  <c r="Q27" i="3"/>
  <c r="Q23" i="3"/>
  <c r="N190" i="3"/>
  <c r="O27" i="3"/>
  <c r="O23" i="3"/>
  <c r="F27" i="3"/>
  <c r="F23" i="3"/>
  <c r="H27" i="3"/>
  <c r="H23" i="3"/>
  <c r="E190" i="3"/>
  <c r="D28" i="4"/>
  <c r="P27" i="3"/>
  <c r="P23" i="3"/>
  <c r="D51" i="4"/>
  <c r="J27" i="3"/>
  <c r="J23" i="3"/>
  <c r="K27" i="3"/>
  <c r="K23" i="3"/>
  <c r="L27" i="3"/>
  <c r="L23" i="3"/>
  <c r="I190" i="3"/>
  <c r="Q24" i="3" l="1"/>
  <c r="D51" i="2"/>
  <c r="E27" i="3"/>
  <c r="F24" i="3"/>
  <c r="D50" i="2"/>
  <c r="N23" i="3"/>
  <c r="D53" i="2"/>
  <c r="D48" i="2"/>
  <c r="M24" i="3"/>
  <c r="D18" i="4"/>
  <c r="I27" i="3"/>
  <c r="J24" i="3"/>
  <c r="I23" i="3"/>
  <c r="E23" i="3"/>
  <c r="L24" i="3"/>
  <c r="G24" i="3"/>
  <c r="D41" i="4"/>
  <c r="N27" i="3"/>
  <c r="O24" i="3"/>
  <c r="D49" i="2"/>
  <c r="D54" i="2"/>
  <c r="H24" i="3"/>
  <c r="K24" i="3"/>
  <c r="P24" i="3"/>
  <c r="D55" i="2"/>
  <c r="D84" i="2" l="1"/>
  <c r="E24" i="3"/>
  <c r="D88" i="2"/>
  <c r="D82" i="2"/>
  <c r="D47" i="2"/>
  <c r="I24" i="3"/>
  <c r="D24" i="3" s="1"/>
  <c r="D52" i="2"/>
  <c r="D87" i="2"/>
  <c r="D85" i="2"/>
  <c r="D83" i="2"/>
  <c r="D27" i="3"/>
  <c r="D89" i="2"/>
  <c r="N24" i="3"/>
  <c r="D46" i="2"/>
  <c r="D96" i="2" l="1"/>
  <c r="D248" i="3"/>
  <c r="D247" i="3"/>
  <c r="D86" i="2"/>
  <c r="D81" i="2"/>
  <c r="D98" i="2"/>
  <c r="D97" i="2"/>
  <c r="D45" i="2"/>
  <c r="D80" i="2"/>
  <c r="D99" i="2"/>
  <c r="D94" i="2" l="1"/>
  <c r="D44" i="2"/>
  <c r="D79" i="2"/>
  <c r="D78" i="2"/>
  <c r="D95" i="2"/>
  <c r="D93" i="2" l="1"/>
  <c r="D92" i="2"/>
</calcChain>
</file>

<file path=xl/sharedStrings.xml><?xml version="1.0" encoding="utf-8"?>
<sst xmlns="http://schemas.openxmlformats.org/spreadsheetml/2006/main" count="2972" uniqueCount="1438">
  <si>
    <t>Geriamojo vandens tiekimo ir nuotekų tvarkymo bei paviršinių nuotekų tvarkymo paslaugų įmonių apskaitos atskyrimo taisyklių ir susijusių reikalavimų sąvado 1 priedas</t>
  </si>
  <si>
    <t xml:space="preserve">Ilgalaikio turto grupių ir nusidėvėjimo (amortizacijos) skaičiavimo laikotarpių sąrašas
</t>
  </si>
  <si>
    <t>Eil. Nr.</t>
  </si>
  <si>
    <t>Ilgalaikio turto grupės</t>
  </si>
  <si>
    <t>Laikotarpis, metais</t>
  </si>
  <si>
    <t>I.</t>
  </si>
  <si>
    <t>NEMATERIALUSIS TURTAS</t>
  </si>
  <si>
    <t>I.1.</t>
  </si>
  <si>
    <t>standartinė programinė įranga</t>
  </si>
  <si>
    <t>spec. programinė įranga</t>
  </si>
  <si>
    <t>4-15</t>
  </si>
  <si>
    <t>kitas nematerialus turtas</t>
  </si>
  <si>
    <t>II.2.</t>
  </si>
  <si>
    <t>PASTATAI IR STATINIAI</t>
  </si>
  <si>
    <t>II.2.1.</t>
  </si>
  <si>
    <t>Pastatai (administraciniai, gamybiniai-ūkiniai ir pan.)</t>
  </si>
  <si>
    <t>50-70</t>
  </si>
  <si>
    <t>II.2.2.</t>
  </si>
  <si>
    <t>keliai, aikštelės, šaligatviai ir tvoros</t>
  </si>
  <si>
    <t>27-30</t>
  </si>
  <si>
    <t>II.2.3.</t>
  </si>
  <si>
    <t>geriamojo vandens tiekimo ir nuotekų surinkimo vamzdynai</t>
  </si>
  <si>
    <t>II.2.4.</t>
  </si>
  <si>
    <t>šilumos ir karšto vandens tiekimo vamzdynai</t>
  </si>
  <si>
    <t>II.2.5.</t>
  </si>
  <si>
    <t>saulės šviesos elektrinės</t>
  </si>
  <si>
    <t>II.2.6.</t>
  </si>
  <si>
    <t>Kiti įrenginiai (siurblinių statiniai, vandentiekio įrenginiai, nusodintuvai, diukeriai, vandens rezervuarai, gelžbetoniniai metantankai, smėlio gaudytuvai, aerotankai, nusodintuvai, nuotekų valymo flotatoriai, dumblo aikštelės ir kt.)</t>
  </si>
  <si>
    <t>II.3.</t>
  </si>
  <si>
    <t>MAŠINOS IR ĮRANGA</t>
  </si>
  <si>
    <t>II.3.1.</t>
  </si>
  <si>
    <t>vandens siurbliai, nuotekų ir dumblo siurbliai virš 5 kW, kita įranga ( siurblių valdymo įranga, elektrotechninė įranga, stacionarios ir mobilios darbo bei hidrodinaminės mašinos, staklės, sklendės, grotelės, grėbliai, grandikliai, filtrai, centrifugos)</t>
  </si>
  <si>
    <t>II.3.2.</t>
  </si>
  <si>
    <t>nuotekų ir dumblo siurbliai iki 5 kW</t>
  </si>
  <si>
    <t>II.4.</t>
  </si>
  <si>
    <t xml:space="preserve"> KITI ĮRENGINIAI, PRIETAISAI IR ĮRANKIAI</t>
  </si>
  <si>
    <t>II.4.1.</t>
  </si>
  <si>
    <t xml:space="preserve">geriamojo vandens apskaitos prietaisai </t>
  </si>
  <si>
    <t>Ne mažesnis už metrologinės patikros galiojimo metų skaičių</t>
  </si>
  <si>
    <t>II.4.2.</t>
  </si>
  <si>
    <t xml:space="preserve">atsiskaitomieji karšto vandens apskaitos prietaisai </t>
  </si>
  <si>
    <t>Metrologinės patikros galiojimo metų skaičius</t>
  </si>
  <si>
    <t>II.4.3.</t>
  </si>
  <si>
    <t>šilumos (atsiskaitomieji ir neatsiskaitomieji) apskaitos prietaisai</t>
  </si>
  <si>
    <t>II.4.4.</t>
  </si>
  <si>
    <t>kiti geriamojo vandens ir nuotekų apskaitos prietaisai (įrengti gręžiniuose, įrenginiuose ir.t.t)</t>
  </si>
  <si>
    <t>II.4.5.</t>
  </si>
  <si>
    <t>Kompiuteriai, kompiuteriniai tinklai ir jų įranga</t>
  </si>
  <si>
    <t>II.4.6.</t>
  </si>
  <si>
    <t xml:space="preserve"> įrankiai (matavimo priemonės, elektriniai įrankiai ir prietaisai, gamybinis inventorius ir kt.)</t>
  </si>
  <si>
    <t>II.5.</t>
  </si>
  <si>
    <t>TRANSPORTO PRIEMONĖS</t>
  </si>
  <si>
    <t>II.5.1.</t>
  </si>
  <si>
    <t>lengvieji automobiliai</t>
  </si>
  <si>
    <t>II.5.2.</t>
  </si>
  <si>
    <t>kitos transporto priemonės (transportas dumblui, vandeniui vežti, autobusai žmonėms vežti)</t>
  </si>
  <si>
    <t>Geriamojo vandens tiekimo ir nuotekų tvarkymo bei paviršinių nuotekų tvarkymo paslaugų įmonių apskaitos atskyrimo taisyklių ir susijusių reikalavimų sąvado 3 priedas</t>
  </si>
  <si>
    <t>Ataskaitinio laikotarpio reguliuojamosios veiklos pelno (nuostolių) ataskaita (tūkst. Eur)</t>
  </si>
  <si>
    <t>STRAIPSNIAI</t>
  </si>
  <si>
    <t>Ataskaitinis laikotarpis</t>
  </si>
  <si>
    <t>Paaiškinimai</t>
  </si>
  <si>
    <t xml:space="preserve">PAJAMOS </t>
  </si>
  <si>
    <t>A.</t>
  </si>
  <si>
    <t>(GARANTINIO) GERIAMOJO VANDENS TIEKIMO IR NUOTEKŲ TVARKYMO (GVTNT)  PAJAMOS:</t>
  </si>
  <si>
    <t>A.1.</t>
  </si>
  <si>
    <t xml:space="preserve">(garantinio) geriamojo vandens tiekimo (GVT) pajamos </t>
  </si>
  <si>
    <t>A.1.1.</t>
  </si>
  <si>
    <t xml:space="preserve"> geriamojo vandens tiekimo pajamos </t>
  </si>
  <si>
    <t>A.1.2.</t>
  </si>
  <si>
    <t>GVTNT ilgalaikio turto nuomos pajamos</t>
  </si>
  <si>
    <t>A.2.</t>
  </si>
  <si>
    <t>(garantinio) nuotekų tvarkymo (NT) veiklos pajamos</t>
  </si>
  <si>
    <t>A.2.1.</t>
  </si>
  <si>
    <t>(garantinis) nuotekų surinkimas centralizuotais nuotekų surinkimo tinklais pajamos</t>
  </si>
  <si>
    <t>A.2.1.1.</t>
  </si>
  <si>
    <t xml:space="preserve">          pajamos už buitinių ir gamybinių nuotekų surinkimą</t>
  </si>
  <si>
    <t>A.2.1.2.</t>
  </si>
  <si>
    <t>pajamos už paviršinių nuotekų tvarkymą, jei yra mišri nuotekų surinkimo sistema</t>
  </si>
  <si>
    <t>A.2.1.3.</t>
  </si>
  <si>
    <t>`</t>
  </si>
  <si>
    <t>A.2.2.</t>
  </si>
  <si>
    <t>(garantinio) nuotekų valymo pajamos</t>
  </si>
  <si>
    <t>A.2.2.1.</t>
  </si>
  <si>
    <t xml:space="preserve">          pajamos už buitinių ir gamybinių nuotekų valymą (be padidėjusios taršos)</t>
  </si>
  <si>
    <t>A.2.2.2.</t>
  </si>
  <si>
    <t>pajamos už padidėjusią ir savitąją taršą</t>
  </si>
  <si>
    <t>A.2.2.3.</t>
  </si>
  <si>
    <t>A.2.2.4.</t>
  </si>
  <si>
    <t>A.2.2.5.</t>
  </si>
  <si>
    <t>Elektros energijos telkimo pajamos</t>
  </si>
  <si>
    <t>A.2.3.</t>
  </si>
  <si>
    <t>(garantinio) nuotekų dumblo tvarkymo pajamos</t>
  </si>
  <si>
    <t>A.2.3.1.</t>
  </si>
  <si>
    <t xml:space="preserve">          pajamos už dumblo tvarkymą (be kitų bendrovių atvežto nuotekų dumblo)</t>
  </si>
  <si>
    <t>A.2.3.2.</t>
  </si>
  <si>
    <t>pajamos už kitų bendrovių atvežtą tvarkyti nuotekų dumblą</t>
  </si>
  <si>
    <t>A.2.3.3.</t>
  </si>
  <si>
    <t>A.2.3.4.</t>
  </si>
  <si>
    <t>A.3.</t>
  </si>
  <si>
    <t>paviršinių nuotekų tvarkymo pajamos</t>
  </si>
  <si>
    <t>A.3.1.</t>
  </si>
  <si>
    <r>
      <t>pajamos už paviršinių nuotekų tvarkymą, jei yra</t>
    </r>
    <r>
      <rPr>
        <b/>
        <i/>
        <sz val="9"/>
        <rFont val="Times New Roman"/>
        <family val="1"/>
        <charset val="186"/>
      </rPr>
      <t xml:space="preserve"> atskira </t>
    </r>
    <r>
      <rPr>
        <i/>
        <sz val="9"/>
        <rFont val="Times New Roman"/>
        <family val="1"/>
        <charset val="186"/>
      </rPr>
      <t>paviršinių nuotekų surinkimo sistema</t>
    </r>
  </si>
  <si>
    <t>A.3.2.</t>
  </si>
  <si>
    <t>B.</t>
  </si>
  <si>
    <t>KITŲ VEIKLŲ PAJAMOS</t>
  </si>
  <si>
    <t>B.1.</t>
  </si>
  <si>
    <t>(garantinio vandens tiekėjo) kitos reguliuojamosios veiklos pajamos</t>
  </si>
  <si>
    <t>B.1.1.</t>
  </si>
  <si>
    <t xml:space="preserve">apskaitos veiklos pajamos </t>
  </si>
  <si>
    <t>B.1.2.</t>
  </si>
  <si>
    <t>garantiniam tiekėjui sumokėtų įmokų pajamos</t>
  </si>
  <si>
    <t>B.1.3.</t>
  </si>
  <si>
    <t>kitos reguliuojamos veiklos pajamos</t>
  </si>
  <si>
    <t>B.1.4.</t>
  </si>
  <si>
    <t>B.2.</t>
  </si>
  <si>
    <t>(garantinio vandens tiekėjo) nereguliuojamosios veiklos pajamos</t>
  </si>
  <si>
    <t>B.2.1.</t>
  </si>
  <si>
    <t>nereguliuojamos veiklos pajamos (įskaitant finansinę veiklą)</t>
  </si>
  <si>
    <t>B.2.2.</t>
  </si>
  <si>
    <t>B.2.3.</t>
  </si>
  <si>
    <t>II.</t>
  </si>
  <si>
    <t>PASKIRSTOMOSIOS SĄNAUDOS</t>
  </si>
  <si>
    <t>4 priedas</t>
  </si>
  <si>
    <t>C.</t>
  </si>
  <si>
    <t xml:space="preserve">(GARANTINIO) GERIAMOJO VANDENS TIEKIMO IR NUOTEKŲ TVARKYMO (GVTNT)  SĄNAUDOS </t>
  </si>
  <si>
    <t>C.1.</t>
  </si>
  <si>
    <t xml:space="preserve">(garantinio) geriamojo vandens tiekimo (GVT) sąnaudos </t>
  </si>
  <si>
    <t>C.2.</t>
  </si>
  <si>
    <t>(garantinio) nuotekų tvarkymo (NT) veiklos sąnaudos</t>
  </si>
  <si>
    <t>C.2.1.</t>
  </si>
  <si>
    <t>nuotekų surinkimas centralizuotais nuotekų surinkimo tinklais sąnaudos</t>
  </si>
  <si>
    <t>C.2.2.</t>
  </si>
  <si>
    <t>nuotekų valymo sąnaudos</t>
  </si>
  <si>
    <t>C.2.3.</t>
  </si>
  <si>
    <t>nuotekų dumblo tvarkymo sąnaudos</t>
  </si>
  <si>
    <t>C.3.</t>
  </si>
  <si>
    <r>
      <t xml:space="preserve">paviršinių nuotekų tvarkymo sąnaudos, jei yra </t>
    </r>
    <r>
      <rPr>
        <b/>
        <sz val="9"/>
        <rFont val="Times New Roman"/>
        <family val="1"/>
        <charset val="186"/>
      </rPr>
      <t>atskira</t>
    </r>
    <r>
      <rPr>
        <sz val="9"/>
        <rFont val="Times New Roman"/>
        <family val="1"/>
        <charset val="186"/>
      </rPr>
      <t xml:space="preserve"> paviršinių nuotekų surinkimo sistema</t>
    </r>
  </si>
  <si>
    <t>D.</t>
  </si>
  <si>
    <t>KITŲ VEIKLŲ SĄNAUDOS</t>
  </si>
  <si>
    <t>D.1.</t>
  </si>
  <si>
    <t>(garantinio vandens tiekėjo) apskaitos veiklos  sąnaudos</t>
  </si>
  <si>
    <t>D.2.</t>
  </si>
  <si>
    <t>(garantinio vandens tiekėjo) kitos reguliuojamosios veiklos sąnaudos</t>
  </si>
  <si>
    <t>D.3.</t>
  </si>
  <si>
    <t>(garantinio vandens tiekėjo) nereguliuojamosios veiklos sąnaudos</t>
  </si>
  <si>
    <t>III.</t>
  </si>
  <si>
    <t>NEPASKIRSTOMOSIOS SĄNAUDOS</t>
  </si>
  <si>
    <t>E.1</t>
  </si>
  <si>
    <t>Beviltiškos skolos, baudos, delspinigiai (GVTNT)</t>
  </si>
  <si>
    <t>E.2.</t>
  </si>
  <si>
    <t>Paramą, labdarą, vartotojų švietimo sąnaudas, išskyrus tas, kurios privalomos pagal teisės aktų reikalavimus, papildomo draudimo sąnaudas, išskyrus darbuotojų, dirbančių pavojingus darbus ir (ar) su potencialiai pavojingais įrenginiais, draudimo nuo nelaimingų atsitikimų darbe sąnaudas (GVTNT)</t>
  </si>
  <si>
    <t>E.3.</t>
  </si>
  <si>
    <t>Tantjemų išmokos (GVTNT)</t>
  </si>
  <si>
    <t>E.4.</t>
  </si>
  <si>
    <t>Narystės, stojamųjų įmokų sąnaudos, išskyrus sąnaudas dėl teisės aktuose numatyto privalomo dalyvavimo, tiesiogiai susijusio su reguliuojamu verslo vienetu (GVTNT)</t>
  </si>
  <si>
    <t>E.5.</t>
  </si>
  <si>
    <t>Patirtos palūkanų ir kitos finansinės-investicinės veiklos sąnaudos (GVTNT)</t>
  </si>
  <si>
    <t>E.6.</t>
  </si>
  <si>
    <t>Komandiruočių sąnaudas (išskyrus tas, kurios yra būtinos reguliuojamai veiklai vykdyti), personalo mokymo sąnaudas, sudarančias daugiau kaip 1,4 proc. Sąvado 11.1.-11.4. papunkčiuose nurodytų verslo vienetų veiklos sąnaudų, nurodytų Sąvado 19.8–19.14 papunkčiuose;</t>
  </si>
  <si>
    <t>E.7.</t>
  </si>
  <si>
    <t>Reprezentacijos, reklamos, viešųjų ryšių, rinkodaros, konsultacijų, tyrimų sąnaudos (išskyrus tas, kurios yra būtinos reguliuojamai veiklai vykdyti) (GVTNT)</t>
  </si>
  <si>
    <t>E.8.</t>
  </si>
  <si>
    <t>Nenaudojamo, likviduoto, nurašyto, esančio atsargose, išnuomoto (išskyrus Sąvado 14 punkte numatytu atveju, kai ne mažiau kaip pusė nuomos pajamų priskiriama reguliuojamai veiklai), panaudos teise perduoto kitam ūkio subjektui ilgalaikio turto sąnaudos (išskyrus užkonservuoto turto palaikymo sąnaudas, jei Ūkio subjektas pateikia ekonominį ar teisinį pagrindimą dėl turto užkonservavimo pagrįstumo), išsinuomoto, Ūkio subjektui neatlygintinai (nemokamai) perduoto, panaudos teisėmis disponuojamo turto nusidėvėjimo sąnaudos (GVTNT)</t>
  </si>
  <si>
    <t>E.9.</t>
  </si>
  <si>
    <t>Nebaigtos statybos ilgalaikio turto sąnaudos (GVTNT)</t>
  </si>
  <si>
    <t>E.10.</t>
  </si>
  <si>
    <t>Nusidėvėjimo (amortizacijos) sąnaudų dalis, priskaičiuojamą nuo ilgalaikio turto vienetų vertės, sukurtos už Europos Sąjungos struktūrinių fondų lėšas, dotacijų ir subsidijų, ir joms prilygintas lėšų (GVTNT)</t>
  </si>
  <si>
    <t>E.11.</t>
  </si>
  <si>
    <t>Nusidėvėjimo (amortizacijos) sąnaudų dalis, priskaičiuojamą nuo ilgalaikio turto vienetų vertės pokyčio, susijusio su turto perkainojimu (GVTNT)</t>
  </si>
  <si>
    <t>E.12.</t>
  </si>
  <si>
    <t>Nusidėvėjimo (amortizacijos) sąnaudos nuo plėtros darbų, iki ilgalaikio turto vienetų, kurių formavimui buvo atliekami plėtros darbai, eksploatacijos pradžios (GVTNT)</t>
  </si>
  <si>
    <t>E.13.</t>
  </si>
  <si>
    <t>Nusidėvėjimo (amortizacijos) sąnaudos nuo prestižo, investicinio turto, finansinio turto, kito ilgalaikio turto, kuris nėra būtinas reguliuojamai veiklai vykdyti (GVTNT)</t>
  </si>
  <si>
    <t>E.14.</t>
  </si>
  <si>
    <t>Išmokos įvairioms kultūros, sveikatinimo ir sporto paslaugoms, gimimo pašalpos, išmokos už mokymosi ir papildomas atostogas, pašalpos mirties atveju, pašalpos už nepilnamečius ir neįgalius šeimos narius, parama profsąjungoms bei išmokos darbuotojams, kurios viršija Lietuvos Respublikos darbo kodekse ir kituose teisės aktuose numatytas privalomas išmokas, kitos su darbuotojo darbo rezultatais nesusijusių išmokų sąnaudos (GVTNT)</t>
  </si>
  <si>
    <t>E.15.</t>
  </si>
  <si>
    <t>Mokymų dalyvių maitinimo, konkursų, parodų, įvairių renginių, organizavimo, dovanų pirkimo, žalos atlyginimo, išskyrus dėl gamtos stichijų ar force majeure aplinkybių, vartotojų patirtų nuostolių atlyginimas, pelno mokesčio, mokesčių nuo dividendų, sporto salių ir kaimo turizmo teikiamų paslaugų bei kitų panašaus pobūdžio paslaugų, susijusių su rekreacija, įsigijimo sąnaudos (GVTNT)</t>
  </si>
  <si>
    <t>E.16.</t>
  </si>
  <si>
    <t>Sąnaudos, susijusias su Ūkio subjekto įvaizdžio kūrimo tikslais, atidėjinių, valdybos narių atlyginimų, salių nuomos, svečių maitinimo ir kitos panašaus pobūdžio sąnaudos (GVTNT)</t>
  </si>
  <si>
    <t>E.17.</t>
  </si>
  <si>
    <t>Nusidėvėjimo (amortizacijos) sąnaudų dalis, priskaičiuojamą nuo nebenaudojamo ilgalaikio turto vieneto ar jo dalies likutinės vertės po įgyvendintų investicijų, skirtų to ilgalaikio turto vieneto ar jo dalies atstatymui (rekonstrukcijai) ar modernizavimui  (GVTNT)</t>
  </si>
  <si>
    <t>E.18.</t>
  </si>
  <si>
    <t>Nusidėvėjimo (amortizacijos) sąnaudų dalis, priskaičiuojamą nuo ilgalaikio turto vienetų vertės dalies, sukurtos vartotojų ir abonentų lėšomis, prijungiant juos prie tinklų  (GVTNT)</t>
  </si>
  <si>
    <t>E.19.</t>
  </si>
  <si>
    <t>Nurašyto į sąnaudas ilgalaikio turto vertė (GVTNT)*</t>
  </si>
  <si>
    <t>E.20.</t>
  </si>
  <si>
    <t>Kitos reguliuojamos veiklos nepaskirstomosios sąnaudos, kitos nereguliuojamos veiklos sąnaudos</t>
  </si>
  <si>
    <t>IV.</t>
  </si>
  <si>
    <t>PRAEITŲ ATASKAITINIŲ LAIKOTARPIŲ KLAIDŲ TAISYMAI***</t>
  </si>
  <si>
    <t>V.</t>
  </si>
  <si>
    <t>PELNAS (NUOSTOLIS) PRIEŠ PELNO MOKęSTĮ</t>
  </si>
  <si>
    <t>F.</t>
  </si>
  <si>
    <t xml:space="preserve">(GARANTINIO) GERIAMOJO VANDENS TIEKIMO IR NUOTEKŲ TVARKYMO (GVTNT)  PELNAS (NUOSTOLIS) </t>
  </si>
  <si>
    <t>F.1.</t>
  </si>
  <si>
    <t xml:space="preserve">(garantinio) geriamojo vandens tiekimo (GVT) pelnas (nuostolis) </t>
  </si>
  <si>
    <t>F.2.</t>
  </si>
  <si>
    <t>(garantinio) nuotekų tvarkymo (NT) veiklos pelnas (nuostolis)</t>
  </si>
  <si>
    <t>F.2.1.</t>
  </si>
  <si>
    <t>nuotekų surinkimas centralizuotais nuotekų surinkimo tinklais pelnas (nuostolis)</t>
  </si>
  <si>
    <t>F.2.2.</t>
  </si>
  <si>
    <t>nuotekų valymo pelnas (nuostolis)</t>
  </si>
  <si>
    <t>F.2.3.</t>
  </si>
  <si>
    <t>nuotekų dumblo tvarkymo pelnas (nuostolis)</t>
  </si>
  <si>
    <t>F.3.</t>
  </si>
  <si>
    <r>
      <t xml:space="preserve">paviršinių nuotekų tvarkymo pelnas (nuostolis), jei yra </t>
    </r>
    <r>
      <rPr>
        <b/>
        <sz val="9"/>
        <rFont val="Times New Roman"/>
        <family val="1"/>
      </rPr>
      <t>atskira</t>
    </r>
    <r>
      <rPr>
        <sz val="9"/>
        <rFont val="Times New Roman"/>
        <family val="1"/>
      </rPr>
      <t xml:space="preserve"> paviršinių nuotekų surinkimo sistema</t>
    </r>
  </si>
  <si>
    <t>G.</t>
  </si>
  <si>
    <t>KITŲ VEIKLŲ PELNAS (NUOSTOLIS)</t>
  </si>
  <si>
    <t>G.1.</t>
  </si>
  <si>
    <t>(garantinio vandens tiekėjo) apskaitos veiklos  pelnas (nuostolis)</t>
  </si>
  <si>
    <t>G.2.</t>
  </si>
  <si>
    <t>(garantinio vandens tiekėjo) kitos reguliuojamosios veiklos pelnas (nuostolis)</t>
  </si>
  <si>
    <t>G.3.</t>
  </si>
  <si>
    <t>(garantinio vandens tiekėjo) nereguliuojamosios veiklos pelnas (nuostolis)</t>
  </si>
  <si>
    <t>H.</t>
  </si>
  <si>
    <t>PAGAUTĖ - NETEKIMAI</t>
  </si>
  <si>
    <t>VI.</t>
  </si>
  <si>
    <t>PELNO MOKESTIS</t>
  </si>
  <si>
    <t>VII.</t>
  </si>
  <si>
    <t>GRYNASIS PELNAS</t>
  </si>
  <si>
    <t>VIII.</t>
  </si>
  <si>
    <t>GERIAMOJO VANDENS TIEKIMO IR NUOTEKŲ TVARKYMO (GVTNT)  PELNINGUMAS** (NUOSTOLINGUMAS),  %</t>
  </si>
  <si>
    <t>VIII.1.</t>
  </si>
  <si>
    <t>geriamojo vandens tiekimo (GVT) pelningumas (nuostolingumas), %</t>
  </si>
  <si>
    <t>VIII.2.</t>
  </si>
  <si>
    <t>nuotekų tvarkymo (NT) veiklos pelningumas (nuostolingumas), %</t>
  </si>
  <si>
    <t>VIII.2.1.</t>
  </si>
  <si>
    <t>nuotekų surinkimas centralizuotais nuotekų surinkimo tinklais pelningumas (nuostolingumas), %</t>
  </si>
  <si>
    <t>VIII.2.2.</t>
  </si>
  <si>
    <t>nuotekų valymo pelningumas (nuostolingumas), %</t>
  </si>
  <si>
    <t>VIII.2.3.</t>
  </si>
  <si>
    <t>nuotekų dumblo tvarkymo pelningumas (nuostolingumas), %</t>
  </si>
  <si>
    <t>VIII.3.</t>
  </si>
  <si>
    <r>
      <t xml:space="preserve">paviršinių nuotekų tvarkymo pelningumas (nuostolingumas, jei yra </t>
    </r>
    <r>
      <rPr>
        <b/>
        <sz val="9"/>
        <rFont val="Times New Roman"/>
        <family val="1"/>
      </rPr>
      <t>atskira</t>
    </r>
    <r>
      <rPr>
        <sz val="9"/>
        <rFont val="Times New Roman"/>
        <family val="1"/>
      </rPr>
      <t xml:space="preserve"> paviršinių nuotekų surinkimo sistema, %</t>
    </r>
  </si>
  <si>
    <t>*Iškyrus nurašyto į sąnaudas ilgalaikio turto vertė, susidariusi dėl Aprašo 1 priede pakeistų nusidėvėjimo (amortizacijos) laikotarpių</t>
  </si>
  <si>
    <t>** Prieš pelno mokestį</t>
  </si>
  <si>
    <t>Geriamojo vandens tiekimo ir nuotekų tvarkymo bei paviršinių nuotekų tvarkymo paslaugų įmonių apskaitos atskyrimo taisyklių ir susijusių reikalavimų sąvado 4 priedas</t>
  </si>
  <si>
    <t>Ataskaitinio laikotarpio reguliuojamos veiklos sąnaudų paskirstymo verslo vienetams ir paslaugoms ataskaita (tūkst. Eur)</t>
  </si>
  <si>
    <t>SĄNAUDOS</t>
  </si>
  <si>
    <t xml:space="preserve">1.  IŠ VISO </t>
  </si>
  <si>
    <t>2. Iš viso GVT</t>
  </si>
  <si>
    <t xml:space="preserve">2.1. Geriamojo vandens gavyba </t>
  </si>
  <si>
    <t>2.2. Geriamojo vandens ruošimas</t>
  </si>
  <si>
    <t>2.3. Geriamojo vandens pristatymas</t>
  </si>
  <si>
    <t>3. Iš viso NT</t>
  </si>
  <si>
    <t>3.1. Nuotekų surinkimas</t>
  </si>
  <si>
    <t>3.2. Nuotekų valymas</t>
  </si>
  <si>
    <t>3.3. Nuotekų dumblo tvarkymas</t>
  </si>
  <si>
    <t>4. Paviršinių nuotekų tvarkymas (tik esant atskirai paviršinių nuotekų tvarkymo sistemai)</t>
  </si>
  <si>
    <t>5. Kitos reguliuojamosios veiklos verslo vienetas</t>
  </si>
  <si>
    <t>5.1. Apskaitos veikla</t>
  </si>
  <si>
    <t>5.2. Kita reguliuojama veikla</t>
  </si>
  <si>
    <t>6. Kitos veiklos (nereguliuojamosios veiklos) verslo vienetas</t>
  </si>
  <si>
    <t xml:space="preserve"> PASKIRSTOMŲJŲ SĄNAUDŲ SUVESTINĖ</t>
  </si>
  <si>
    <t>Geriamojo vandens įsigijimo sąnaudos</t>
  </si>
  <si>
    <t>Nuotekų tvarkymo paslaugų pirkimo sąnaudos</t>
  </si>
  <si>
    <t>Elektros energijos sąnaudos, iš šio skaičiaus</t>
  </si>
  <si>
    <t>Elektros energija siurbliams,  orapūtėms, maišyklėms ir kitiems technologiniams įrenginiams</t>
  </si>
  <si>
    <t>A.4.</t>
  </si>
  <si>
    <t>Technologinių medžiagų ir technologinio kuro sąnaudos</t>
  </si>
  <si>
    <t>A.5.</t>
  </si>
  <si>
    <t>Einamojo remonto ir aptarnavimo sąnaudos, iš šio skaičius:</t>
  </si>
  <si>
    <t>A.5.1.</t>
  </si>
  <si>
    <t>Remonto medžiagų ir detalių  sąnaudos</t>
  </si>
  <si>
    <t>A.5.2.</t>
  </si>
  <si>
    <t xml:space="preserve">   Avarijų šalinimo sąnaudos</t>
  </si>
  <si>
    <t>A.5.3.</t>
  </si>
  <si>
    <t>Remonto ir aptarnavimo paslaugų pirkimo sąnaudos</t>
  </si>
  <si>
    <t>A.6.</t>
  </si>
  <si>
    <t>Personalo sąnaudos, iš šio skaičius:</t>
  </si>
  <si>
    <t>A.6.1.</t>
  </si>
  <si>
    <t>Darbo užmokesčio sąnaudos</t>
  </si>
  <si>
    <t>A.7.</t>
  </si>
  <si>
    <t>Perkamų paslaugų (veiklos rangos) sąnaudos</t>
  </si>
  <si>
    <t>A.B.</t>
  </si>
  <si>
    <t>VISOS  PASKIRSTOMOSIOS SĄNAUDOS, IŠ ŠIO SKAIČIAUS:</t>
  </si>
  <si>
    <t>A.B.1.</t>
  </si>
  <si>
    <t>Pastoviosios paskirstomosios sąnaudos, iš šio skaičius:</t>
  </si>
  <si>
    <t>A.B.1.1.</t>
  </si>
  <si>
    <t>Tiesioginės pastoviosios sąnaudos</t>
  </si>
  <si>
    <t>A.B.1.2.</t>
  </si>
  <si>
    <t>Netiesioginės pastoviosios sąnaudos</t>
  </si>
  <si>
    <t>A.B.1.3.</t>
  </si>
  <si>
    <t>Bendrosios pastoviosios sąnaudos</t>
  </si>
  <si>
    <t>A.B.2.</t>
  </si>
  <si>
    <t>Kintamosios paskirstomosios sąnaudos</t>
  </si>
  <si>
    <t>TIESIOGINĖS SĄNAUDOS</t>
  </si>
  <si>
    <t xml:space="preserve">Nuotekų tvarkymo paslaugų pirkimo sąnaudos </t>
  </si>
  <si>
    <t>Dumblo tvarkymo paslaugų pirkimo sąnaudos</t>
  </si>
  <si>
    <t>B.3.</t>
  </si>
  <si>
    <t>Elektros energijos sąnaudos</t>
  </si>
  <si>
    <t>B.3.1.</t>
  </si>
  <si>
    <t>B.3.2.</t>
  </si>
  <si>
    <t>Patalpų šildymo, apšvietimo, vėdinimo ir eksploatacijos elektros energijos sąnaudos</t>
  </si>
  <si>
    <t>B.4.</t>
  </si>
  <si>
    <t>B.4.1.</t>
  </si>
  <si>
    <t>Technologinių medžiagų sąnaudos</t>
  </si>
  <si>
    <t>B.4.2.</t>
  </si>
  <si>
    <t>Technologinio kuro sąnaudos</t>
  </si>
  <si>
    <t>B.5.</t>
  </si>
  <si>
    <t>Kuro transportui sąnaudos</t>
  </si>
  <si>
    <t>B.5.1.</t>
  </si>
  <si>
    <t xml:space="preserve">Kuras mašinoms ir gamybiniam transportui (asenizacijos transporto priemonėms, transportui dumblui, vandeniui vežti, autobusams žmonėms vežti) </t>
  </si>
  <si>
    <t>B.5.2.</t>
  </si>
  <si>
    <t>Kuras lengviesiems automobiliams</t>
  </si>
  <si>
    <t>B.6.</t>
  </si>
  <si>
    <t>Šilumos energijos sąnaudos</t>
  </si>
  <si>
    <t>B.6.1.</t>
  </si>
  <si>
    <t>Šilumos energijos patalpų šildymui sąnaudos</t>
  </si>
  <si>
    <t>B.7.</t>
  </si>
  <si>
    <t>Einamojo remonto ir aptarnavimo sąnaudos</t>
  </si>
  <si>
    <t>B.7.1.</t>
  </si>
  <si>
    <t>B.7.2.</t>
  </si>
  <si>
    <t>B.7.3.</t>
  </si>
  <si>
    <t xml:space="preserve">   Metrologinės patikros sąnaudos</t>
  </si>
  <si>
    <t>B.7.4.</t>
  </si>
  <si>
    <t>B.7.5.</t>
  </si>
  <si>
    <t xml:space="preserve">Kitos techninio aptarnavimo ir patikros (kėlimo mechanizmų, energetikos įrenginių) paslaugos </t>
  </si>
  <si>
    <t>B.8.</t>
  </si>
  <si>
    <t>Nusidėvėjimo (amortizacijos) sąnaudos</t>
  </si>
  <si>
    <t>B.9.</t>
  </si>
  <si>
    <t>Personalo sąnaudos</t>
  </si>
  <si>
    <t>B.9.1.</t>
  </si>
  <si>
    <t xml:space="preserve">   Darbo užmokesčio sąnaudos</t>
  </si>
  <si>
    <t>B.9.2.</t>
  </si>
  <si>
    <t xml:space="preserve">   Darbdavio įmokų VSDFV ir kitų darbdavio įmokų VSDFV sąnaudos</t>
  </si>
  <si>
    <t>B.9.3.</t>
  </si>
  <si>
    <t xml:space="preserve">   Darbo saugos sąnaudos</t>
  </si>
  <si>
    <t>B.9.4.</t>
  </si>
  <si>
    <t>Personalo mokymų sąnaudos</t>
  </si>
  <si>
    <t>B.9.5.</t>
  </si>
  <si>
    <t xml:space="preserve">   Kitos personalo sąnaudos</t>
  </si>
  <si>
    <t>B.10.</t>
  </si>
  <si>
    <t>Mokesčių sąnaudos</t>
  </si>
  <si>
    <t>B.10.1.</t>
  </si>
  <si>
    <t xml:space="preserve">   Mokesčio už valstybinius gamtos išteklius sąnaudos</t>
  </si>
  <si>
    <t>B.10.2.</t>
  </si>
  <si>
    <t xml:space="preserve">   Mokesčio už taršą sąnaudos</t>
  </si>
  <si>
    <t>B.10.3.</t>
  </si>
  <si>
    <t xml:space="preserve">   Nekilnojamojo turto mokesčio sąnaudos</t>
  </si>
  <si>
    <t>B.10.4.</t>
  </si>
  <si>
    <t xml:space="preserve">   Žemės nuomos mokesčio sąnaudos</t>
  </si>
  <si>
    <t>B.10.5.</t>
  </si>
  <si>
    <t>Įmokos garantiniam vandens tiekėjui</t>
  </si>
  <si>
    <t>B.10.6.</t>
  </si>
  <si>
    <t xml:space="preserve">   Kitų mokesčių sąnaudos</t>
  </si>
  <si>
    <t>B.11.</t>
  </si>
  <si>
    <t>Finansinės sąnaudos</t>
  </si>
  <si>
    <t>B.11.1.</t>
  </si>
  <si>
    <t xml:space="preserve">   Banko paslaugų (komisinių) sąnaudos			</t>
  </si>
  <si>
    <t>B.11.2.</t>
  </si>
  <si>
    <t xml:space="preserve">   Kitos finansinės sąnaudos</t>
  </si>
  <si>
    <t>B.12.</t>
  </si>
  <si>
    <t>Administracinės sąnaudos</t>
  </si>
  <si>
    <t>B.12.1.</t>
  </si>
  <si>
    <t xml:space="preserve">   Teisinių paslaugų pirkimo sąnaudos</t>
  </si>
  <si>
    <t>B.12.2.</t>
  </si>
  <si>
    <t xml:space="preserve">   Žyminio mokesčio sąnaudos			</t>
  </si>
  <si>
    <t>B.12.3.</t>
  </si>
  <si>
    <t xml:space="preserve">   Konsultacinių paslaugų pirkimo sąnaudos			</t>
  </si>
  <si>
    <t>B.12.4.</t>
  </si>
  <si>
    <t xml:space="preserve">   Ryšių paslaugų sąnaudos			</t>
  </si>
  <si>
    <t>B.12.5.</t>
  </si>
  <si>
    <t xml:space="preserve">   Pašto, pasiuntinių paslaugų sąnaudos			</t>
  </si>
  <si>
    <t>B.12.6.</t>
  </si>
  <si>
    <t xml:space="preserve">  Kanceliarinės sąnaudos			</t>
  </si>
  <si>
    <t>B.12.7.</t>
  </si>
  <si>
    <t xml:space="preserve">   Org. inventoriaus aptarnavimo, remonto paslaugų pirkimo sąnaudos		</t>
  </si>
  <si>
    <t>B.12.8.</t>
  </si>
  <si>
    <t xml:space="preserve">   Profesinės literatūros, spaudos sąnaudos			</t>
  </si>
  <si>
    <t>B.12.9.</t>
  </si>
  <si>
    <t xml:space="preserve">   Patalpų priežiūros paslaugų pirkimo sąnaudos</t>
  </si>
  <si>
    <t>B.12.10.</t>
  </si>
  <si>
    <t xml:space="preserve">   Apskaitos ir audito paslaugų pirkimo sąnaudos</t>
  </si>
  <si>
    <t>B.12.11.</t>
  </si>
  <si>
    <t xml:space="preserve">   Transporto paslaugų pirkimo sąnaudos</t>
  </si>
  <si>
    <t>B.12.12.</t>
  </si>
  <si>
    <t xml:space="preserve">   Įmokų administravimo paslaugų sąnaudos</t>
  </si>
  <si>
    <t>B.12.13.</t>
  </si>
  <si>
    <t xml:space="preserve">   Vartotojų informavimo paslaugų pirkimo sąnaudos</t>
  </si>
  <si>
    <t>B.12.14.</t>
  </si>
  <si>
    <t xml:space="preserve">   Kitos administravimo sąnaudos.</t>
  </si>
  <si>
    <t>B.13.</t>
  </si>
  <si>
    <t>Rinkodaros ir pardavimų sąnaudos</t>
  </si>
  <si>
    <t>B.14.</t>
  </si>
  <si>
    <t>Kitos sąnaudos</t>
  </si>
  <si>
    <t>B.14.1.</t>
  </si>
  <si>
    <t xml:space="preserve">   Turto nuomos sąnaudos</t>
  </si>
  <si>
    <t>B.14.2.</t>
  </si>
  <si>
    <t>Draudimo sąnaudos</t>
  </si>
  <si>
    <t>B.14.3.</t>
  </si>
  <si>
    <t xml:space="preserve">   Laboratorinių tyrimų pirkimo sąnaudos</t>
  </si>
  <si>
    <t>B.14.4.</t>
  </si>
  <si>
    <t>Kitų paslaugų   pirkimo sąnaudos</t>
  </si>
  <si>
    <t>B.14.5.</t>
  </si>
  <si>
    <t>Kitos pastoviosios sąnaudos</t>
  </si>
  <si>
    <t>B.14.6.</t>
  </si>
  <si>
    <t>Trumpalaikio turto (vandens ir nuotekų apskaitos prietaisai) nurašymo sąnaudos</t>
  </si>
  <si>
    <t>B.14.7.</t>
  </si>
  <si>
    <t>Kitos kintamosios sąnaudos</t>
  </si>
  <si>
    <t>NETIESIOGINĖS SĄNAUDOS</t>
  </si>
  <si>
    <t>C.1.1.</t>
  </si>
  <si>
    <t>C.1.2.</t>
  </si>
  <si>
    <t>C.3.1.</t>
  </si>
  <si>
    <t>C.4.</t>
  </si>
  <si>
    <t>C.4.1.</t>
  </si>
  <si>
    <t>C.4.2.</t>
  </si>
  <si>
    <t>C.4.3.</t>
  </si>
  <si>
    <t>C.4.4.</t>
  </si>
  <si>
    <t>C.4.5.</t>
  </si>
  <si>
    <t>C.5.</t>
  </si>
  <si>
    <t>C.6.</t>
  </si>
  <si>
    <t>C.6.1.</t>
  </si>
  <si>
    <t>C.6.2.</t>
  </si>
  <si>
    <t>C.6.3.</t>
  </si>
  <si>
    <t>C.6.4.</t>
  </si>
  <si>
    <t>C.6.5.</t>
  </si>
  <si>
    <t>C.7.</t>
  </si>
  <si>
    <t>C.7.1.</t>
  </si>
  <si>
    <t>C.7.2.</t>
  </si>
  <si>
    <t>C.7.3.</t>
  </si>
  <si>
    <t>C.8.</t>
  </si>
  <si>
    <t>C.8.1.</t>
  </si>
  <si>
    <t>C.8.2.</t>
  </si>
  <si>
    <t>C.9.</t>
  </si>
  <si>
    <t>C.9.1.</t>
  </si>
  <si>
    <t>C.9.2.</t>
  </si>
  <si>
    <t>C.9.3.</t>
  </si>
  <si>
    <t>C.9.4.</t>
  </si>
  <si>
    <t>C.9.5.</t>
  </si>
  <si>
    <t>C.9.6.</t>
  </si>
  <si>
    <t>C.9.7.</t>
  </si>
  <si>
    <t>C.9.8.</t>
  </si>
  <si>
    <t>C.9.9.</t>
  </si>
  <si>
    <t>C.9.10.</t>
  </si>
  <si>
    <t>C.9.11.</t>
  </si>
  <si>
    <t>C.9.12.</t>
  </si>
  <si>
    <t>C.9.13.</t>
  </si>
  <si>
    <t>C.9.14.</t>
  </si>
  <si>
    <t>C.10.</t>
  </si>
  <si>
    <t>C.11.</t>
  </si>
  <si>
    <t>C.11.1.</t>
  </si>
  <si>
    <t>C.11.2.</t>
  </si>
  <si>
    <t>C.11.3.</t>
  </si>
  <si>
    <t>C.11.4.</t>
  </si>
  <si>
    <t>C.11.5.</t>
  </si>
  <si>
    <t>C.11.6.</t>
  </si>
  <si>
    <t>Netiesioginių sąnaudų paskirstymo kriterijus (įrašyti atitinkamą punktą)</t>
  </si>
  <si>
    <t xml:space="preserve">1.  IŠ VISO* </t>
  </si>
  <si>
    <t>C.1.  Punktui</t>
  </si>
  <si>
    <t xml:space="preserve">C.2.  Punktui </t>
  </si>
  <si>
    <t xml:space="preserve">C.3.  Punktui </t>
  </si>
  <si>
    <t>D.4.</t>
  </si>
  <si>
    <t xml:space="preserve">C.4.  Punktui </t>
  </si>
  <si>
    <t>Metrologinės patikros sąnaudos</t>
  </si>
  <si>
    <t>Avarijų šalinimo sąnaudos</t>
  </si>
  <si>
    <t>D.5.</t>
  </si>
  <si>
    <t>C.5.  Punktui</t>
  </si>
  <si>
    <t>D.6.</t>
  </si>
  <si>
    <t>C.6.  Punktui</t>
  </si>
  <si>
    <t>Darbo saugos sąnaudos</t>
  </si>
  <si>
    <t>Kitos personalo sąnaudos</t>
  </si>
  <si>
    <t>D.7.</t>
  </si>
  <si>
    <t>C.7.  Punktui</t>
  </si>
  <si>
    <t>Nekilnojamojo turto mokesčio sąnaudos</t>
  </si>
  <si>
    <t>Žemės nuomos mokesčio sąnaudos</t>
  </si>
  <si>
    <t>D.8.</t>
  </si>
  <si>
    <t>C.8.  Punktui</t>
  </si>
  <si>
    <t xml:space="preserve">Banko paslaugų (komisinių) sąnaudos			</t>
  </si>
  <si>
    <t>Kitos finansinės sąnaudos</t>
  </si>
  <si>
    <t>D.9.</t>
  </si>
  <si>
    <t>C.9.  Punktui</t>
  </si>
  <si>
    <t>Teisinių paslaugų pirkimo sąnaudos</t>
  </si>
  <si>
    <t xml:space="preserve">Žyminio mokesčio sąnaudos			</t>
  </si>
  <si>
    <t xml:space="preserve">Konsultacinių paslaugų pirkimo sąnaudos			</t>
  </si>
  <si>
    <t xml:space="preserve">Ryšių paslaugų sąnaudos			</t>
  </si>
  <si>
    <t xml:space="preserve">Pašto, pasiuntinių paslaugų sąnaudos			</t>
  </si>
  <si>
    <t xml:space="preserve">Kanceliarinės sąnaudos			</t>
  </si>
  <si>
    <t xml:space="preserve">Org. inventoriaus aptarnavimo, remonto paslaugų pirkimo sąnaudos		</t>
  </si>
  <si>
    <t xml:space="preserve">Profesinės literatūros, spaudos sąnaudos			</t>
  </si>
  <si>
    <t>Patalpų priežiūros paslaugų pirkimo sąnaudos</t>
  </si>
  <si>
    <t>Apskaitos ir audito paslaugų pirkimo sąnaudos</t>
  </si>
  <si>
    <t>Transporto paslaugų pirkimo sąnaudos</t>
  </si>
  <si>
    <t>Įmokų administravimo paslaugų sąnaudos</t>
  </si>
  <si>
    <t>Vartotojų informavimo paslaugų pirkimo sąnaudos</t>
  </si>
  <si>
    <t>Kitos administravimo sąnaudos.</t>
  </si>
  <si>
    <t>D.10.</t>
  </si>
  <si>
    <t>C.10.  Punktui</t>
  </si>
  <si>
    <t>D.11.</t>
  </si>
  <si>
    <t>C.11.  Punktui</t>
  </si>
  <si>
    <t>E.</t>
  </si>
  <si>
    <t>BENDROSIOS SĄNAUDOS</t>
  </si>
  <si>
    <t>E.1.</t>
  </si>
  <si>
    <t>E.1.1.</t>
  </si>
  <si>
    <t>E.2.1.</t>
  </si>
  <si>
    <t>E.2.2.</t>
  </si>
  <si>
    <t>E.3.1.</t>
  </si>
  <si>
    <t>E.4.1.</t>
  </si>
  <si>
    <t>E.4.2.</t>
  </si>
  <si>
    <t>E.4.3.</t>
  </si>
  <si>
    <t>E.4.4.</t>
  </si>
  <si>
    <t>E.4.5.</t>
  </si>
  <si>
    <t>E.6.1.</t>
  </si>
  <si>
    <t>E.6.2.</t>
  </si>
  <si>
    <t>E.6.3.</t>
  </si>
  <si>
    <t>E.6.4.</t>
  </si>
  <si>
    <t>E.6.5.</t>
  </si>
  <si>
    <t>E.7.1.</t>
  </si>
  <si>
    <t>E.7.2.</t>
  </si>
  <si>
    <t>E.7.3.</t>
  </si>
  <si>
    <t>E.8.1.</t>
  </si>
  <si>
    <t>E.8.2.</t>
  </si>
  <si>
    <t xml:space="preserve">   Kitos  finansinės sąnaudos</t>
  </si>
  <si>
    <t>E.9.1.</t>
  </si>
  <si>
    <t>E.9.2.</t>
  </si>
  <si>
    <t>E.9.3.</t>
  </si>
  <si>
    <t>E.9.4.</t>
  </si>
  <si>
    <t>E.9.5.</t>
  </si>
  <si>
    <t>E.9.6.</t>
  </si>
  <si>
    <t>E.9.7.</t>
  </si>
  <si>
    <t>E.9.8.</t>
  </si>
  <si>
    <t>E.9.9.</t>
  </si>
  <si>
    <t>E.9.10.</t>
  </si>
  <si>
    <t>E.9.11.</t>
  </si>
  <si>
    <t>E.9.12.</t>
  </si>
  <si>
    <t>E.9.13.</t>
  </si>
  <si>
    <t>E.9.14.</t>
  </si>
  <si>
    <t>Paskirstomosios draudimo sąnaudos</t>
  </si>
  <si>
    <t>E.9.15.</t>
  </si>
  <si>
    <t>E.11.1.</t>
  </si>
  <si>
    <t>E.11.2.</t>
  </si>
  <si>
    <t>E.11.3.</t>
  </si>
  <si>
    <t>E.11.4.</t>
  </si>
  <si>
    <t>E.11.5.</t>
  </si>
  <si>
    <t>Bendrųjų sąnaudų paskirstymo kriterijus</t>
  </si>
  <si>
    <t>Verslo vieneto, paslaugos tiesioginių ir netiesioginių pastoviųjų sąnaudų dalis (% nuo visų tiesioginių ir netiesioginių pastoviųjų sąnaudų)</t>
  </si>
  <si>
    <t>Verslo vienetui, paslaugai priskirta  bendrojo turto dalis (% nuo viso bendro turto)**</t>
  </si>
  <si>
    <t>* Suma turi būti 100 proc.</t>
  </si>
  <si>
    <t>** Pagal Aprašo 6 priedą</t>
  </si>
  <si>
    <t>OPEX (su apskaitos veikla)</t>
  </si>
  <si>
    <t>OPEX (be apskaitos veiklos)</t>
  </si>
  <si>
    <t>Geriamojo vandens tiekimo ir nuotekų tvarkymo bei paviršinių nuotekų tvarkymo paslaugų įmonių apskaitos atskyrimo taisyklių ir susijusių reikalavimų sąvado 5 priedas</t>
  </si>
  <si>
    <t>Ataskaitinio laikotarpio reguliuojamos veiklos ilgalaikio turto įsigijimo ir likutinės vertės suvestinė  ataskaita  (tūkst. Eur)</t>
  </si>
  <si>
    <t xml:space="preserve">I. </t>
  </si>
  <si>
    <t>ILGALAIKIO TURTO LIKUTINĖ VERTĖ PAGAL FINANSINĖS APSKAITOS STANDARTUS (FAS)</t>
  </si>
  <si>
    <t>2 priedas</t>
  </si>
  <si>
    <t>GERIAMOJO VANDENS TIEKIMO IR NUOTEKŲ TVARKYMO (GVTNT)  REGULIUOJAMO ILGALAIKIO TURTO LIKUTINĖ VERTĖ PAGAL REGULIAVIMO APSKAITOS SISTEMĄ (RAS)</t>
  </si>
  <si>
    <t>7 priedas</t>
  </si>
  <si>
    <t xml:space="preserve">geriamojo vandens tiekimo (GVT) reguliuojamo ilgalaikio turto likutinė vertė (pagal RAS) </t>
  </si>
  <si>
    <t>nuotekų tvarkymo (NT) veiklos reguliuojamo ilgalaikio turto likutinė vertė (pagal RAS)</t>
  </si>
  <si>
    <t>nuotekų surinkimas centralizuotais nuotekų surinkimo tinklais reguliuojamo ilgalaikio turto likutinė vertė (pagal RAS)</t>
  </si>
  <si>
    <t>nuotekų valymo reguliuojamo ilgalaikio turto likutinė vertė (pagal RAS)</t>
  </si>
  <si>
    <t>nuotekų dumblo tvarkymo reguliuojamo ilgalaikio turto likutinė vertė (pagal RAS)</t>
  </si>
  <si>
    <r>
      <t xml:space="preserve">paviršinių nuotekų tvarkymo reguliuojamo ilgalaikio turto likutinė vertė (pagal RAS),jei yra </t>
    </r>
    <r>
      <rPr>
        <b/>
        <sz val="9"/>
        <rFont val="Times New Roman"/>
        <family val="1"/>
        <charset val="186"/>
      </rPr>
      <t xml:space="preserve">atskira </t>
    </r>
    <r>
      <rPr>
        <sz val="9"/>
        <rFont val="Times New Roman"/>
        <family val="1"/>
        <charset val="186"/>
      </rPr>
      <t>paviršinių nuotekų surinkimo sistema</t>
    </r>
  </si>
  <si>
    <t>GVTNT VEIKLOS REGULIUOJAMAM ILGALAIKIUI TURTUI (PAGAL RAS) NEPRISKIRTINO TURTO LIKUTINĖS VERTĖS</t>
  </si>
  <si>
    <t>už Dotacijas įsigyto ir neatlygintai gauto turto vertė (GVTNT)</t>
  </si>
  <si>
    <t>Plėtros darbų vertė, iki ilgalaikio turto vienetų, kurių formavimui buvo atliekami plėtros darbai, eksploatacijos pradžios (GVTNT)</t>
  </si>
  <si>
    <t>Prestižo vertė (GVTNT)</t>
  </si>
  <si>
    <t>Investicinio turto vertė (GVTNT)</t>
  </si>
  <si>
    <t>Finansinio turto vertė (GVTNT)</t>
  </si>
  <si>
    <t>Atidėtojo mokesčio turto vertė (GVTNT)</t>
  </si>
  <si>
    <t>Ilgalaikio turto vertės pokytis, susijęs su ilgalaikio turto perkainojimo veikla (GVTNT)</t>
  </si>
  <si>
    <t>Nebaigtos statybos, nenaudojamo, nusidėvėjusio turto vertė (GVTNT)</t>
  </si>
  <si>
    <t>Kito reguliuojamos veiklos nepaskirstomojo ilgalaikio turto vertė, kito nereguliuojamos veiklos ilgalaikio turto vertė</t>
  </si>
  <si>
    <t>GVTNT Ilgalaikio turto balansinių verčių pagal RAS ir FAS skirtumas</t>
  </si>
  <si>
    <t>KITŲ VEIKLŲ ILGALAIKIO TURTO LIKUTINĖ VERTĖ</t>
  </si>
  <si>
    <t>Apskaitos veiklos  reguliuojamo ilgalaikio turto likutinė vertė (pagal RAS)</t>
  </si>
  <si>
    <t>kitos reguliuojamosios veiklos ilgalaikio turto likutinė vertė</t>
  </si>
  <si>
    <t>nereguliuojamosios veiklos ilgalaikio turto likutinė vertė</t>
  </si>
  <si>
    <t xml:space="preserve">II. </t>
  </si>
  <si>
    <t>ILGALAIKIO TURTO  ĮSIGIJIMO VERTĖ PAGAL FINANSINĖS APSKAITOS STANDARTUS (FAS)</t>
  </si>
  <si>
    <t>GERIAMOJO VANDENS TIEKIMO IR NUOTEKŲ TVARKYMO (GVTNT)  REGULIUOJAMO ILGALAIKIO TURTO ĮSIGIJIMO VERTĖ PAGAL REGULIAVIMO APSKAITOS SISTEMĄ (RAS)</t>
  </si>
  <si>
    <t>6 priedas</t>
  </si>
  <si>
    <t xml:space="preserve">geriamojo vandens tiekimo (GVT) reguliuojamo ilgalaikio turto įsigijimo vertė (pagal RAS) </t>
  </si>
  <si>
    <t>nuotekų tvarkymo (NT) veiklos reguliuojamo ilgalaikio turto įsigijimo vertė (pagal RAS)</t>
  </si>
  <si>
    <t>D.2.1.</t>
  </si>
  <si>
    <t>nuotekų surinkimas centralizuotais nuotekų surinkimo tinklais reguliuojamo ilgalaikio turto įsigijimo vertė (pagal RAS)</t>
  </si>
  <si>
    <t>D.2.2.</t>
  </si>
  <si>
    <t>nuotekų valymo reguliuojamo ilgalaikio turto įsigijimo vertė (pagal RAS)</t>
  </si>
  <si>
    <t>D.2.3.</t>
  </si>
  <si>
    <t>nuotekų dumblo tvarkymo reguliuojamo ilgalaikio turto įsigijimo vertė (pagal RAS)</t>
  </si>
  <si>
    <r>
      <t xml:space="preserve">paviršinių nuotekų tvarkymo reguliuojamo ilgalaikio turto įsigijimo vertė (pagal RAS), jei yra </t>
    </r>
    <r>
      <rPr>
        <b/>
        <sz val="9"/>
        <rFont val="Times New Roman"/>
        <family val="1"/>
        <charset val="186"/>
      </rPr>
      <t>atskira</t>
    </r>
    <r>
      <rPr>
        <sz val="9"/>
        <rFont val="Times New Roman"/>
        <family val="1"/>
        <charset val="186"/>
      </rPr>
      <t xml:space="preserve"> paviršinių nuotekų surinkimo sistema</t>
    </r>
  </si>
  <si>
    <t>GVTNT VEIKLOS REGULIUOJAMAM ILGALAIKIUI TURTUI (PAGAL RAS) NEPRISKIRTINO TURTO ĮSIGIJIMO VERTĖS</t>
  </si>
  <si>
    <t>GVTNT Ilgalaikio turto įsigijimo verčių pagal RAS ir FAS skirtumas</t>
  </si>
  <si>
    <t>KITŲ VEIKLŲ ILGALAIKIO TURTO  ĮSIGIJIMO VERTĖ</t>
  </si>
  <si>
    <t>Apskaitos veiklos  reguliuojamo ilgalaikio turto įsigijimo vertė (pagal RAS)</t>
  </si>
  <si>
    <t>kitos reguliuojamosios veiklos ilgalaikio turto įsigijimo vertė</t>
  </si>
  <si>
    <t>nereguliuojamosios veiklos ilgalaikio turto įsigijimo vertė</t>
  </si>
  <si>
    <t>Geriamojo vandens tiekimo ir nuotekų tvarkymo bei paviršinių nuotekų tvarkymo paslaugų įmonių apskaitos atskyrimo taisyklių ir susijusių reikalavimų sąvado 6 priedas</t>
  </si>
  <si>
    <t>Ataskaitinio laikotarpio reguliuojamo ilgalaikio turto įsigijimo vertės (suskaičiuotos pagal Sąvado nuostatas) paskirstymo verslo vienetams ir paslaugoms ataskaita  (tūkst. Eur)</t>
  </si>
  <si>
    <t>ILGALAIKIS TURTAS</t>
  </si>
  <si>
    <t>5.1 Apskaitos veikla</t>
  </si>
  <si>
    <t>PASKIRSTOMAS ILGALAIKIS TURTAS</t>
  </si>
  <si>
    <t>A.1.3.</t>
  </si>
  <si>
    <t xml:space="preserve">keliai, aikštelės, šaligatviai ir tvoros </t>
  </si>
  <si>
    <t>A.2.4.</t>
  </si>
  <si>
    <t>A.2.5.</t>
  </si>
  <si>
    <t>A.2.6.</t>
  </si>
  <si>
    <t>Kiti įrenginiai (vandentiekio įrenginiai, nusodintuvai, diukeriai, vandens rezervuarai, gelžbetoniniai metantankai, smėlio gaudytuvai, aerotankai, nusodintuvai, nuotekų valymo flotatoriai, dumblo aikštelės ir kt.)</t>
  </si>
  <si>
    <t>A.4.1.</t>
  </si>
  <si>
    <t>A.4.2.</t>
  </si>
  <si>
    <t>A.4.3.</t>
  </si>
  <si>
    <t>A.4.4.</t>
  </si>
  <si>
    <t>A.4.5.</t>
  </si>
  <si>
    <t>įrankiai (matavimo priemonės, elektriniai įrankiai ir prietaisai, gamybinis inventorius ir kt.)</t>
  </si>
  <si>
    <t>KITAS ILGALAIKIS TURTAS</t>
  </si>
  <si>
    <t>A.6.2.</t>
  </si>
  <si>
    <t>A.6.3.</t>
  </si>
  <si>
    <t>TIESIOGIAI PASKIRSTOMAS ILGALAIKIS TURTAS</t>
  </si>
  <si>
    <t>B.2.4.</t>
  </si>
  <si>
    <t>B.2.5.</t>
  </si>
  <si>
    <t>B.2.6.</t>
  </si>
  <si>
    <t>B.4.3.</t>
  </si>
  <si>
    <t>B.4.4.</t>
  </si>
  <si>
    <t>B.4.5.</t>
  </si>
  <si>
    <t>B.6.2.</t>
  </si>
  <si>
    <t>B.6.3.</t>
  </si>
  <si>
    <t>Netiesioginės sąnaudos</t>
  </si>
  <si>
    <t>NETIESIOGIAI PASKIRSTOMAS ILGALAIKIS TURTAS</t>
  </si>
  <si>
    <t>C.1.3.</t>
  </si>
  <si>
    <t>C.2.4.</t>
  </si>
  <si>
    <t>C.2.5.</t>
  </si>
  <si>
    <t>C.2.6.</t>
  </si>
  <si>
    <t>C.3.2.</t>
  </si>
  <si>
    <t>C.5.1.</t>
  </si>
  <si>
    <t>C.5.2.</t>
  </si>
  <si>
    <t>Netiesiogiai paskirstomo ilgalaikio turto paskirstymo kriterijus</t>
  </si>
  <si>
    <t>C.1.1  Punktui</t>
  </si>
  <si>
    <t>C.1.2.  Punktui</t>
  </si>
  <si>
    <t>C.1.3.  Punktui</t>
  </si>
  <si>
    <t>C.2.1  Punktui</t>
  </si>
  <si>
    <t>C.2.2. Punktui</t>
  </si>
  <si>
    <t>C.2.3  Punktui</t>
  </si>
  <si>
    <t>C.2.4  Punktui</t>
  </si>
  <si>
    <t>C.2.5  Punktui</t>
  </si>
  <si>
    <t>C.2.6  Punktui</t>
  </si>
  <si>
    <t>C.3.1.  Punktui</t>
  </si>
  <si>
    <t>C.3.2.  Punktui</t>
  </si>
  <si>
    <t>D.12.</t>
  </si>
  <si>
    <t>C.4.1  Punktui</t>
  </si>
  <si>
    <t>D.13.</t>
  </si>
  <si>
    <t>C.4.2  Punktui</t>
  </si>
  <si>
    <t>D.14.</t>
  </si>
  <si>
    <t>C.4.3  Punktui</t>
  </si>
  <si>
    <t>D.15.</t>
  </si>
  <si>
    <t>C.4.4  Punktui</t>
  </si>
  <si>
    <t>D.16.</t>
  </si>
  <si>
    <t>C.4.5  Punktui</t>
  </si>
  <si>
    <t>D.17.</t>
  </si>
  <si>
    <t>C.5.1  Punktui</t>
  </si>
  <si>
    <t>D.18.</t>
  </si>
  <si>
    <t>C.5.2.  Punktui</t>
  </si>
  <si>
    <t>D.19.</t>
  </si>
  <si>
    <t>C.6.1.  Punktui</t>
  </si>
  <si>
    <t>D.20.</t>
  </si>
  <si>
    <t>C.6.2.  Punktui</t>
  </si>
  <si>
    <t>D.21.</t>
  </si>
  <si>
    <t>C.6.3.  Punktui</t>
  </si>
  <si>
    <t>Bendrosios sąnaudos</t>
  </si>
  <si>
    <t>BENDRAI PASKIRSTOMAS ILGALAIKIS TURTAS</t>
  </si>
  <si>
    <t>E.1.2.</t>
  </si>
  <si>
    <t>E.1.3.</t>
  </si>
  <si>
    <t>E.2.3.</t>
  </si>
  <si>
    <t>E.2.4.</t>
  </si>
  <si>
    <t>E.2.5.</t>
  </si>
  <si>
    <t>E.2.6.</t>
  </si>
  <si>
    <t xml:space="preserve">Kiti įrenginiai </t>
  </si>
  <si>
    <t xml:space="preserve">Kita įranga </t>
  </si>
  <si>
    <t>E.5.1.</t>
  </si>
  <si>
    <t>E.5.2.</t>
  </si>
  <si>
    <t>kitos transporto priemonės (pvz. autobusai žmonėms vežti)</t>
  </si>
  <si>
    <t>Bendrai paskirstomo ilgalaikio turto paskirstymo kriterijus</t>
  </si>
  <si>
    <t>E.1.1  Punktui</t>
  </si>
  <si>
    <t>E.1.2.  Punktui</t>
  </si>
  <si>
    <t>E.1.3.  Punktui</t>
  </si>
  <si>
    <t>F.4.</t>
  </si>
  <si>
    <t>E.2.1  Punktui</t>
  </si>
  <si>
    <t>F.5.</t>
  </si>
  <si>
    <t>E.2.2. Punktui</t>
  </si>
  <si>
    <t>F.6.</t>
  </si>
  <si>
    <t>E.2.3  Punktui</t>
  </si>
  <si>
    <t>F.7.</t>
  </si>
  <si>
    <t>E.2.4  Punktui</t>
  </si>
  <si>
    <t>F.8.</t>
  </si>
  <si>
    <t>E.2.5  Punktui</t>
  </si>
  <si>
    <t>F.9.</t>
  </si>
  <si>
    <t>E.2.6  Punktui</t>
  </si>
  <si>
    <t>F.10.</t>
  </si>
  <si>
    <t>E.3.1.  Punktui</t>
  </si>
  <si>
    <t>F.11.</t>
  </si>
  <si>
    <t>E.4.1  Punktui</t>
  </si>
  <si>
    <t>F.12.</t>
  </si>
  <si>
    <t>E.4.2  Punktui</t>
  </si>
  <si>
    <t>F.13.</t>
  </si>
  <si>
    <t>E.4.3.  Punktui</t>
  </si>
  <si>
    <t>F.14.</t>
  </si>
  <si>
    <t>E.4.4.  Punktui</t>
  </si>
  <si>
    <t>F.15.</t>
  </si>
  <si>
    <t>E.4.5.  Punktui</t>
  </si>
  <si>
    <t>F.16.</t>
  </si>
  <si>
    <t>E.5.1  Punktui</t>
  </si>
  <si>
    <t>F.17.</t>
  </si>
  <si>
    <t>E.5.2.  Punktui</t>
  </si>
  <si>
    <t>F.18.</t>
  </si>
  <si>
    <t>E.6.1.  Punktui</t>
  </si>
  <si>
    <t>F.19.</t>
  </si>
  <si>
    <t>E.6.2.  Punktui</t>
  </si>
  <si>
    <t>F.20.</t>
  </si>
  <si>
    <t>E.6.3.  Punktui</t>
  </si>
  <si>
    <t>Verslo vienetui, paslaugai priskirta  bendro turto dalis (% nuo viso bendro turto)</t>
  </si>
  <si>
    <t>Geriamojo vandens tiekimo ir nuotekų tvarkymo bei paviršinių nuotekų tvarkymo paslaugų įmonių apskaitos atskyrimo taisyklių ir susijusių reikalavimų sąvado 7 priedas</t>
  </si>
  <si>
    <t>Ataskaitinio laikotarpio reguliuojamo ilgalaikio turto likutinės vertės ( suskaičiuotos pagal Sąvado nuostatas) paskirstymo verslo vienetams ir paslaugoms ataskaita  (tūkst. Eur)</t>
  </si>
  <si>
    <t>Geriamojo vandens tiekimo ir nuotekų tvarkymo bei paviršinių nuotekų tvarkymo paslaugų įmonių apskaitos atskyrimo taisyklių ir susijusių reikalavimų sąvado 8 priedas</t>
  </si>
  <si>
    <t>Ataskaitinio laikotarpio geriamojo vandens ir nuotekų tvarkymo paslaugų realizacija</t>
  </si>
  <si>
    <t>RODIKLIAI</t>
  </si>
  <si>
    <t>Matavimo vienetai</t>
  </si>
  <si>
    <t>G E R I A M A S I S  V A N D U O</t>
  </si>
  <si>
    <t>IŠGAUTO POŽEMINIO VANDENS KIEKIS  (pirmas pakėlimas)</t>
  </si>
  <si>
    <r>
      <t>tūkst. m</t>
    </r>
    <r>
      <rPr>
        <b/>
        <vertAlign val="superscript"/>
        <sz val="10"/>
        <rFont val="Times New Roman"/>
        <family val="1"/>
        <charset val="186"/>
      </rPr>
      <t>3</t>
    </r>
  </si>
  <si>
    <t xml:space="preserve">PARUOŠTO GERIAMOJO VANDENS KIEKIS </t>
  </si>
  <si>
    <t>PATIEKTO GERIAMOJO VANDENS KIEKIS (antro pakėlimo perpumpavimo stotyse pakelto vandens kiekis)</t>
  </si>
  <si>
    <t>3.1.</t>
  </si>
  <si>
    <t xml:space="preserve">     iš šio skaičiaus:                     patiekto daugiabučiams namams*</t>
  </si>
  <si>
    <r>
      <t>tūkst. m</t>
    </r>
    <r>
      <rPr>
        <vertAlign val="superscript"/>
        <sz val="10"/>
        <rFont val="Times New Roman"/>
        <family val="1"/>
        <charset val="186"/>
      </rPr>
      <t>3</t>
    </r>
  </si>
  <si>
    <t>3.1.1.</t>
  </si>
  <si>
    <t>iš šio skaičiaus:                                           karšto vandens ruošimui</t>
  </si>
  <si>
    <r>
      <t>tūkst. m</t>
    </r>
    <r>
      <rPr>
        <i/>
        <vertAlign val="superscript"/>
        <sz val="10"/>
        <rFont val="Times New Roman"/>
        <family val="1"/>
        <charset val="186"/>
      </rPr>
      <t>3</t>
    </r>
  </si>
  <si>
    <t>3.2.</t>
  </si>
  <si>
    <t>Trečio, ketvirto,..n-to pakėlimo perpumpavimo stotyse pakelto vandens kiekis</t>
  </si>
  <si>
    <t>tūkst. m3</t>
  </si>
  <si>
    <t>4.</t>
  </si>
  <si>
    <t xml:space="preserve">REALIZUOTAS GERIAMOJO VANDENS KIEKIS  </t>
  </si>
  <si>
    <t>4.1.</t>
  </si>
  <si>
    <t xml:space="preserve">Vartotojams </t>
  </si>
  <si>
    <t>4.1.1.</t>
  </si>
  <si>
    <t xml:space="preserve">                                 Daugiabučiuose namuose</t>
  </si>
  <si>
    <t>4.1.1.1.</t>
  </si>
  <si>
    <t>iš šio skaičiaus:         pagal daugiabučių namų įvadinius apskaitos prietaisus (pvz.bendrijos)**</t>
  </si>
  <si>
    <t>4.1.1.2.</t>
  </si>
  <si>
    <t>4.1.2.</t>
  </si>
  <si>
    <t>Individualiuose namuose</t>
  </si>
  <si>
    <t>4.2.</t>
  </si>
  <si>
    <t xml:space="preserve">Abonentams </t>
  </si>
  <si>
    <t>4.2.1.</t>
  </si>
  <si>
    <t>iš šio skaičiaus:                                          karšto vandens tiekėjams</t>
  </si>
  <si>
    <t>4.3.</t>
  </si>
  <si>
    <t xml:space="preserve"> Sezoniniams abonentams</t>
  </si>
  <si>
    <t>5.</t>
  </si>
  <si>
    <t>VANDENS KIEKIS SUVARTOTAS PER HIDRANTUS GAISRAMS GESINTI</t>
  </si>
  <si>
    <t>6.</t>
  </si>
  <si>
    <t>NEAPSKAITYTAS VANDENS KIEKIS</t>
  </si>
  <si>
    <t>6.1.</t>
  </si>
  <si>
    <t>iš šio skaičiaus:                  technologiniai nuostoliai vandens ruošime (filtrų plovimas)</t>
  </si>
  <si>
    <t>6.2.</t>
  </si>
  <si>
    <t>tiekimo tinkluose iki vandentiekio įvadų</t>
  </si>
  <si>
    <t>6.3.</t>
  </si>
  <si>
    <t>daugiabučių namų tinkluose</t>
  </si>
  <si>
    <t>6.3.1.</t>
  </si>
  <si>
    <t>skirtumas daugiabučiuose tarp įvadinės ir apskaitos butuose</t>
  </si>
  <si>
    <t>6.3.1.1</t>
  </si>
  <si>
    <t>iš šio skaičiaus:                karšto vandens skirtumas</t>
  </si>
  <si>
    <t>N U O T E K O S</t>
  </si>
  <si>
    <t>7.</t>
  </si>
  <si>
    <t xml:space="preserve">SURINKTA BUITINIŲ IR GAMYBINIŲ NUOTEKŲ  </t>
  </si>
  <si>
    <t>7.1.</t>
  </si>
  <si>
    <t>iš šio skaičiaus:                                      buitinių ir gamybinių nuotekų tinklais</t>
  </si>
  <si>
    <t>7.2.</t>
  </si>
  <si>
    <t xml:space="preserve">surenkamų asenizacijos transporto priemonėmis </t>
  </si>
  <si>
    <t>8.</t>
  </si>
  <si>
    <t>PERPUMPUOTAS BUITINIŲ IR GAMYBINIŲ NUOTEKŲ KIEKIS                                            (per pirmąsias siurblines)</t>
  </si>
  <si>
    <r>
      <t>tūkst. m</t>
    </r>
    <r>
      <rPr>
        <vertAlign val="superscript"/>
        <sz val="11"/>
        <rFont val="Calibri"/>
        <family val="1"/>
        <charset val="186"/>
        <scheme val="minor"/>
      </rPr>
      <t>3</t>
    </r>
  </si>
  <si>
    <r>
      <t>8.</t>
    </r>
    <r>
      <rPr>
        <b/>
        <vertAlign val="superscript"/>
        <sz val="10"/>
        <rFont val="Times New Roman"/>
        <family val="1"/>
      </rPr>
      <t>1</t>
    </r>
  </si>
  <si>
    <t>PERPUMPUOTAS BUITINIŲ IR GAMYBINIŲ NUOTEKŲ KIEKIS                                            (per antrąsias, trečiąsias, ketvirtąsias,...n-tąsias siurblines)</t>
  </si>
  <si>
    <t>9.</t>
  </si>
  <si>
    <t>IŠVALYTAS BUITINIŲ IR GAMYBINIŲ NUOTEKŲ KIEKIS</t>
  </si>
  <si>
    <t>10.</t>
  </si>
  <si>
    <t xml:space="preserve">SUTVARKYTAS DUMBLO KIEKIS </t>
  </si>
  <si>
    <t>11.</t>
  </si>
  <si>
    <t>REALIZUOTAS BUITINIŲ IR GAMYBINIŲ NUOTEKŲ TVARKYMO PASLAUGOS KIEKIS</t>
  </si>
  <si>
    <t>REALIZUOTAS IŠVALYTŲ BUITINIŲ IR GAMYBINIŲ NUOTEKŲ TVARKYMO PASLAUGOS KIEKIS</t>
  </si>
  <si>
    <r>
      <t>tūkst. m</t>
    </r>
    <r>
      <rPr>
        <b/>
        <vertAlign val="superscript"/>
        <sz val="10"/>
        <rFont val="Times New Roman"/>
        <family val="1"/>
      </rPr>
      <t>3</t>
    </r>
  </si>
  <si>
    <t>11.1.</t>
  </si>
  <si>
    <t>Vartotojams už surinkimą</t>
  </si>
  <si>
    <t>11.1.1.</t>
  </si>
  <si>
    <t xml:space="preserve">                                      Daugiabučiuose namuose</t>
  </si>
  <si>
    <t>11.1.1.2.</t>
  </si>
  <si>
    <t>iš šio skaičiaus:                                    karšto vandens nuotekos</t>
  </si>
  <si>
    <t>11.1.2.</t>
  </si>
  <si>
    <t>Individualiuose namuose už surinkimą</t>
  </si>
  <si>
    <t>11.1.2.1.</t>
  </si>
  <si>
    <t xml:space="preserve">          Individualiuose namuose už valymą</t>
  </si>
  <si>
    <t>11.1.2.2.</t>
  </si>
  <si>
    <t>Individualiuose namuose už nuotekų dumblo tvarkymą</t>
  </si>
  <si>
    <t>11.2.</t>
  </si>
  <si>
    <t>Abonentams už surinkimą</t>
  </si>
  <si>
    <t>11.2.1.</t>
  </si>
  <si>
    <t>Abonentams už valymą</t>
  </si>
  <si>
    <t>11.2.2.</t>
  </si>
  <si>
    <t>Abonentams už nuotekų dumblo tvarkymą</t>
  </si>
  <si>
    <t>11.3.</t>
  </si>
  <si>
    <t xml:space="preserve"> Sezoniniams abonentams už surinkimą</t>
  </si>
  <si>
    <t>12.</t>
  </si>
  <si>
    <t>NEAPSKAITYTAS BUITINIŲ IR GAMYBINIŲ NUOTEKŲ KIEKIS</t>
  </si>
  <si>
    <t>12.1.</t>
  </si>
  <si>
    <t xml:space="preserve">iš šio skaičiaus:                nuotekų infiltracija tinkluose </t>
  </si>
  <si>
    <t>12.2.</t>
  </si>
  <si>
    <t xml:space="preserve"> įvadinės ir apskaitos butuose skirtumas</t>
  </si>
  <si>
    <t>12.2.1.</t>
  </si>
  <si>
    <t>iš šio skaičiaus: karšto vandens tarp įvadinės ir apskaitos butuose skirtumas</t>
  </si>
  <si>
    <t>P A V I R Š I N Ė S  N U O T E K O S</t>
  </si>
  <si>
    <t>13.</t>
  </si>
  <si>
    <t>SURINKTA PAVIRŠINIŲ NUOTEKŲ</t>
  </si>
  <si>
    <t>13.1.</t>
  </si>
  <si>
    <t>Surinkta mišrių nuotekų surinkimo sistema</t>
  </si>
  <si>
    <t>13.2.</t>
  </si>
  <si>
    <t>Surinkta atskira paviršinių nuotekų tvarkymo sistema</t>
  </si>
  <si>
    <t>14.</t>
  </si>
  <si>
    <t>IŠVALYTAS PAVIRŠINIŲ NUOTEKŲ KIEKIS</t>
  </si>
  <si>
    <t>15.</t>
  </si>
  <si>
    <t>REALIZUOTAS PAVIRŠINIŲ NUOTEKŲ TVARKYMO KIEKIS</t>
  </si>
  <si>
    <t>15.1.</t>
  </si>
  <si>
    <t>15.2.</t>
  </si>
  <si>
    <t>16.</t>
  </si>
  <si>
    <t>NEAPMOKĖTAS PAVIRŠINIŲ NUOTEKŲ KIEKIS</t>
  </si>
  <si>
    <t>N E T E K T Y S</t>
  </si>
  <si>
    <t>17.</t>
  </si>
  <si>
    <t>NEAPSKAITYTAS VANDENS KIEKIS NUO IŠGAUTO VANDENS KIEKIO</t>
  </si>
  <si>
    <t>%</t>
  </si>
  <si>
    <t>17.1.</t>
  </si>
  <si>
    <t>Iš šio skaičiaus: technologiniai nuostoliai vandens ruošime</t>
  </si>
  <si>
    <t>17.2.</t>
  </si>
  <si>
    <t>17.3.</t>
  </si>
  <si>
    <t>17.3.1.</t>
  </si>
  <si>
    <t>17.3.1.1.</t>
  </si>
  <si>
    <t>geriamojo vandens skirtumas</t>
  </si>
  <si>
    <t>17.3.1.2.</t>
  </si>
  <si>
    <t>18.</t>
  </si>
  <si>
    <t>NEAPSKAITYTŲ BUITINIŲ IR GAMYBINIŲ NUOTEKŲ KIEKIS NUO SURINKTŲ NUOTEKŲ KIEKIO</t>
  </si>
  <si>
    <t>18.1.</t>
  </si>
  <si>
    <t>18.2.</t>
  </si>
  <si>
    <t>18.2.1.</t>
  </si>
  <si>
    <t>19.</t>
  </si>
  <si>
    <t>NEAPMOKĖTAS PAVIRŠINIŲ NUOTEKŲ KIEKIS NUO SURINKTŲ NUOTEKŲ KIEKIO</t>
  </si>
  <si>
    <t>V A R T O T O J A I</t>
  </si>
  <si>
    <t>20.</t>
  </si>
  <si>
    <t>Gyventojų skaičius aptarnaujamoje teritorijoje</t>
  </si>
  <si>
    <t>žm.</t>
  </si>
  <si>
    <t>21.</t>
  </si>
  <si>
    <t>Namų ūkių skaičius aptarnaujamoje teritorijoje</t>
  </si>
  <si>
    <t>vnt.</t>
  </si>
  <si>
    <t>22.</t>
  </si>
  <si>
    <t>Aptarnaujamų Ūkio subjekto paslaugomis vartotojų skaičius</t>
  </si>
  <si>
    <t>22.1.</t>
  </si>
  <si>
    <t>Vartotojai, kuriems tiekiamas ir vanduo, ir tvarkomos nuotekos</t>
  </si>
  <si>
    <t>22.1.1.</t>
  </si>
  <si>
    <t>iš šio skaičiaus:               gyvenantys daugiabučiuose namuose</t>
  </si>
  <si>
    <t>22.1.2</t>
  </si>
  <si>
    <t>individualiuose gyvenamuosiuose namuose</t>
  </si>
  <si>
    <t>22.2.</t>
  </si>
  <si>
    <t xml:space="preserve">Vartotojai kuriems tiekiamas tik vanduo </t>
  </si>
  <si>
    <t>22.3.</t>
  </si>
  <si>
    <t xml:space="preserve">Vartotojai kuriems tik centralizuotai surenkamos nuotekos </t>
  </si>
  <si>
    <t>22.4.</t>
  </si>
  <si>
    <t>Vartotojai kuriems surenkamos nuotekos asenizacijos transporto priemonėmis</t>
  </si>
  <si>
    <t>22.5.</t>
  </si>
  <si>
    <t>Kiti Ūkio subjekto GVTNT paslaugų vartotojai</t>
  </si>
  <si>
    <t>23.</t>
  </si>
  <si>
    <t>Aptarnaujamų Ūkio subjekto paslaugomis abonentų skaičius</t>
  </si>
  <si>
    <t>23.1.</t>
  </si>
  <si>
    <t>Abonentai kuriems tiekiamas ir vanduo, ir tvarkomos nuotekos</t>
  </si>
  <si>
    <t>23.3.</t>
  </si>
  <si>
    <t>Abonentai kuriems tiekiamas tik vanduo</t>
  </si>
  <si>
    <t>23.2.</t>
  </si>
  <si>
    <t xml:space="preserve">Abonentai kuriems tik centralizuotai surenkamos nuotekos </t>
  </si>
  <si>
    <t>24.</t>
  </si>
  <si>
    <t>Aptarnaujamų Ūkio subjekto paslaugomis vartotojų ir abonentų skaičius iš viso</t>
  </si>
  <si>
    <t>24.1.</t>
  </si>
  <si>
    <t>Abonentai ir vartotojai kuriems tiekiamas ir vanduo, ir tvarkomos nuotekos, iš viso</t>
  </si>
  <si>
    <t>24.2.</t>
  </si>
  <si>
    <t>Abonentai ir vartotojai  kuriems tik tiekiamas vanduo, iš viso</t>
  </si>
  <si>
    <t>24.3.</t>
  </si>
  <si>
    <t xml:space="preserve">Abonentai ir vartotojai kuriems tik centralizuotai surenkamos nuotekos, iš viso </t>
  </si>
  <si>
    <r>
      <t>*</t>
    </r>
    <r>
      <rPr>
        <b/>
        <i/>
        <sz val="11"/>
        <rFont val="Calibri"/>
        <family val="2"/>
      </rPr>
      <t>Pildo Ūkio subjektai, kurių 70 proc. ir daugiau daugiabučių namų įvaduose yra įrengta įvadinė apskaita.</t>
    </r>
    <r>
      <rPr>
        <i/>
        <sz val="11"/>
        <rFont val="Calibri"/>
        <family val="2"/>
      </rPr>
      <t xml:space="preserve"> Patiekto vandens kiekis apskaičiuojamas 1 lentelėje.</t>
    </r>
  </si>
  <si>
    <t>**Realizuotas geriamojo vandens kiekis daugiabučiuose namuose, už kurį atsiskaitoma pagal daugiabučių namų įvadinius apskaitos prietaisus (pvz. Bendrijos)</t>
  </si>
  <si>
    <t xml:space="preserve">1 lentelė. </t>
  </si>
  <si>
    <t>Patiekto geriamojo vandens kiekio daugiabučiuose namuose nustatymas (Pildo Ūkio subjektai, kurių 70 proc. ir daugiau daugiabučių namų įvaduose yra įrengta įvadinė apskaita).</t>
  </si>
  <si>
    <t>Straipsnis</t>
  </si>
  <si>
    <t>įrengta įvadinė</t>
  </si>
  <si>
    <t>neįrengta įvadinė</t>
  </si>
  <si>
    <t>P.1.</t>
  </si>
  <si>
    <r>
      <t>Geriamojo vandens kiekis patiektas daugiabučiams namams, tūkst. m</t>
    </r>
    <r>
      <rPr>
        <vertAlign val="superscript"/>
        <sz val="10"/>
        <rFont val="Times New Roman"/>
        <family val="1"/>
      </rPr>
      <t>3</t>
    </r>
  </si>
  <si>
    <t>P.2.</t>
  </si>
  <si>
    <r>
      <t>Realizuotas geriamojo vandens kiekis daugiabučiams namams, tūkst.m</t>
    </r>
    <r>
      <rPr>
        <vertAlign val="superscript"/>
        <sz val="10"/>
        <rFont val="Times New Roman"/>
        <family val="1"/>
      </rPr>
      <t>3</t>
    </r>
    <r>
      <rPr>
        <sz val="10"/>
        <rFont val="Times New Roman"/>
        <family val="1"/>
        <charset val="186"/>
      </rPr>
      <t xml:space="preserve"> </t>
    </r>
    <r>
      <rPr>
        <b/>
        <sz val="10"/>
        <rFont val="Times New Roman"/>
        <family val="1"/>
      </rPr>
      <t>(suma turi sutapti su 4.1.1. eilute)</t>
    </r>
    <r>
      <rPr>
        <sz val="10"/>
        <rFont val="Times New Roman"/>
        <family val="1"/>
        <charset val="186"/>
      </rPr>
      <t>, tūkst. m</t>
    </r>
    <r>
      <rPr>
        <vertAlign val="superscript"/>
        <sz val="10"/>
        <rFont val="Times New Roman"/>
        <family val="1"/>
      </rPr>
      <t>3</t>
    </r>
  </si>
  <si>
    <t>P.3.</t>
  </si>
  <si>
    <t>Skirtumas daugiabučiuose tarp įvadinės ir apskaitos butuose, proc.</t>
  </si>
  <si>
    <t>Geriamojo vandens tiekimo ir nuotekų tvarkymo bei paviršinių nuotekų tvarkymo paslaugų įmonių apskaitos atskyrimo taisyklių ir susijusių reikalavimų sąvado 9 priedas</t>
  </si>
  <si>
    <t>Ataskaitinio laikotarpio technologiniai rodikliai</t>
  </si>
  <si>
    <t>TECHNOLOGINIAI    RODIKLIAI</t>
  </si>
  <si>
    <t xml:space="preserve">A. ŪKIO PROJEKTINIS PAJĖGUMAS  </t>
  </si>
  <si>
    <t xml:space="preserve">Vandens išgavimo  </t>
  </si>
  <si>
    <r>
      <t>tūkst.m</t>
    </r>
    <r>
      <rPr>
        <b/>
        <vertAlign val="superscript"/>
        <sz val="10"/>
        <rFont val="Times New Roman"/>
        <family val="1"/>
        <charset val="186"/>
      </rPr>
      <t>3</t>
    </r>
    <r>
      <rPr>
        <b/>
        <sz val="10"/>
        <rFont val="Times New Roman"/>
        <family val="1"/>
        <charset val="186"/>
      </rPr>
      <t>/metus</t>
    </r>
  </si>
  <si>
    <t>Vandens ruošimo įrenginių</t>
  </si>
  <si>
    <t>Vandens pakėlimo stočių</t>
  </si>
  <si>
    <t xml:space="preserve">Nuotekų siurblinių </t>
  </si>
  <si>
    <t xml:space="preserve">Paviršinių nuotekų siurblinių </t>
  </si>
  <si>
    <t>Nuotekų valyklų</t>
  </si>
  <si>
    <t>Vidutinis pajėgumas BDS7</t>
  </si>
  <si>
    <r>
      <t>mgO</t>
    </r>
    <r>
      <rPr>
        <vertAlign val="subscript"/>
        <sz val="10"/>
        <rFont val="Times New Roman"/>
        <family val="1"/>
        <charset val="186"/>
      </rPr>
      <t>2</t>
    </r>
    <r>
      <rPr>
        <sz val="10"/>
        <rFont val="Times New Roman"/>
        <family val="1"/>
        <charset val="186"/>
      </rPr>
      <t>/l</t>
    </r>
  </si>
  <si>
    <t>Vidutinis pajėgumas SM</t>
  </si>
  <si>
    <t>mg/l</t>
  </si>
  <si>
    <t>Vidutinis pajėgumas bendrojo azoto</t>
  </si>
  <si>
    <t>A.6.4.</t>
  </si>
  <si>
    <t>Vidutinis pajėgumas bendrojo fosforo</t>
  </si>
  <si>
    <t>Paviršinių nuotekų valyklų</t>
  </si>
  <si>
    <t>A.7.1.</t>
  </si>
  <si>
    <t>A.7.2.</t>
  </si>
  <si>
    <t>A.7.3.</t>
  </si>
  <si>
    <t>Vidutinis pajėgumas naftos produktų</t>
  </si>
  <si>
    <t>A.8.</t>
  </si>
  <si>
    <t>Nuotekų dumblo apdorojimo įrenginių</t>
  </si>
  <si>
    <t>tonos/metus</t>
  </si>
  <si>
    <t>A.8.1.</t>
  </si>
  <si>
    <t>nuotekų dumblo tankinimo  įrenginių</t>
  </si>
  <si>
    <t>A.8.2.</t>
  </si>
  <si>
    <t>nuotekų dumblo sausinimo įrenginių</t>
  </si>
  <si>
    <t>A.8.3.</t>
  </si>
  <si>
    <t>nuotekų dumblo pūdymo įrenginių</t>
  </si>
  <si>
    <t>A.8.4.</t>
  </si>
  <si>
    <t>nuotekų dumblo džiovinimo įrenginių</t>
  </si>
  <si>
    <t>A.8.5.</t>
  </si>
  <si>
    <t>nuotekų dumblo kompostavimo įrenginių</t>
  </si>
  <si>
    <t>B. GERIAMOJO VANDENS GAVYBA</t>
  </si>
  <si>
    <t>Vandenviečių skaičius</t>
  </si>
  <si>
    <t xml:space="preserve">Gręžiniuose instaliuotų siurblių skaičius </t>
  </si>
  <si>
    <t>Vidutinis svertinis vandens pakėlimo aukštis gavyboje (įvertinant slėgį)</t>
  </si>
  <si>
    <r>
      <t>mH</t>
    </r>
    <r>
      <rPr>
        <b/>
        <vertAlign val="subscript"/>
        <sz val="10"/>
        <rFont val="Times New Roman"/>
        <family val="1"/>
        <charset val="186"/>
      </rPr>
      <t>2</t>
    </r>
    <r>
      <rPr>
        <b/>
        <sz val="10"/>
        <rFont val="Times New Roman"/>
        <family val="1"/>
        <charset val="186"/>
      </rPr>
      <t>O*</t>
    </r>
  </si>
  <si>
    <t>C. GERIAMOJO VANDENS RUOŠIMAS</t>
  </si>
  <si>
    <t xml:space="preserve">Vandens aeravimo įrenginių skaičius </t>
  </si>
  <si>
    <t>iš to skaičiaus:          vandens aeravimas su priverstine aeracija</t>
  </si>
  <si>
    <t>Metinis paruošto vandens kiekis</t>
  </si>
  <si>
    <t>C.1.2.1.</t>
  </si>
  <si>
    <t>iš to skaičiaus:            Uždarose slėginėse nugeležinimo sistemose be membraninių osmoso filtrų aeruotas vandens kiekis</t>
  </si>
  <si>
    <t>C.1.2.2.</t>
  </si>
  <si>
    <t xml:space="preserve">                                Beslėgėse ir kitose sistemose aeruotas vandens kiekis</t>
  </si>
  <si>
    <t xml:space="preserve"> C.1.2.3.</t>
  </si>
  <si>
    <t xml:space="preserve">     Uždarose slėginėse nugeležinimo sistemose su membraniniais osmoso filtrais  nugeležintas vandens kiekis</t>
  </si>
  <si>
    <t>C.1.2.4.</t>
  </si>
  <si>
    <t>Kitais būdais paruošto vandens kiekis</t>
  </si>
  <si>
    <t>Patiektas vandens kiekis atitinkantis higienos normų reikalavimus</t>
  </si>
  <si>
    <t>Dezinfekuoto vandens kiekis</t>
  </si>
  <si>
    <t>Dezinfekavimo įrenginių kiekis</t>
  </si>
  <si>
    <t>C.3.1.1.</t>
  </si>
  <si>
    <t>iš to skaičiaus:                                       natrio hipochloritu</t>
  </si>
  <si>
    <t>C.3.1.1.1.</t>
  </si>
  <si>
    <t xml:space="preserve">dezinfekuoto natrio hipochloritu vandens kiekis </t>
  </si>
  <si>
    <t xml:space="preserve">chloru </t>
  </si>
  <si>
    <t>C.3.2.1.</t>
  </si>
  <si>
    <t xml:space="preserve">dezinfekuoto chloru vandens kiekis </t>
  </si>
  <si>
    <t>Bokštų  skaičius</t>
  </si>
  <si>
    <t>Rezervuarų skaičius</t>
  </si>
  <si>
    <t>Instaliuotų siurblių skaičius</t>
  </si>
  <si>
    <t>Membraniniai ultrafiltraciniai filtrai</t>
  </si>
  <si>
    <t>Vandens ruošime dirbančių orapūčių ir slėginių smėlio filtrų skaičius</t>
  </si>
  <si>
    <t>Membraniniai osmoso filtrai</t>
  </si>
  <si>
    <t>Vidutinis svertinis vandens pakėlimo aukštis ruošime (įvertinant slėgį)</t>
  </si>
  <si>
    <r>
      <t>mH</t>
    </r>
    <r>
      <rPr>
        <b/>
        <vertAlign val="subscript"/>
        <sz val="10"/>
        <rFont val="Times New Roman"/>
        <family val="1"/>
        <charset val="186"/>
      </rPr>
      <t>2</t>
    </r>
    <r>
      <rPr>
        <b/>
        <sz val="10"/>
        <rFont val="Times New Roman"/>
        <family val="1"/>
        <charset val="186"/>
      </rPr>
      <t>O</t>
    </r>
  </si>
  <si>
    <t>D. GERIAMOJO VANDENS PRISTATYMAS</t>
  </si>
  <si>
    <t xml:space="preserve">Vandentiekių skaičius </t>
  </si>
  <si>
    <t xml:space="preserve">Vandens pakėlimo stočių skaičius </t>
  </si>
  <si>
    <t xml:space="preserve">Vandens pakėlimo stotyse instaliuotų siurblių skaičius </t>
  </si>
  <si>
    <t>Vidutinis svertinis vandens pakėlimo aukštis paskirstyme (įvertinant slėgį)</t>
  </si>
  <si>
    <t xml:space="preserve">Požeminio vandens tinklų ilgis  </t>
  </si>
  <si>
    <t>km</t>
  </si>
  <si>
    <t>D.5.1.</t>
  </si>
  <si>
    <t xml:space="preserve">         magistralinių vandentiekio tinklų ilgis</t>
  </si>
  <si>
    <t>D.5.2.</t>
  </si>
  <si>
    <t xml:space="preserve">         kitų vandentiekio tinklų ilgis</t>
  </si>
  <si>
    <t xml:space="preserve">Vandentiekio prijungimų (įvadų) skaičius </t>
  </si>
  <si>
    <t xml:space="preserve">Daugiabučių namų skaičius </t>
  </si>
  <si>
    <t xml:space="preserve">Vandens ėmimo kolonėlių skaičius </t>
  </si>
  <si>
    <t xml:space="preserve">Hidrantų skaičius </t>
  </si>
  <si>
    <t>Įvadinių (kartu su poįvadiniais) apskaitos prietaisų skaičius</t>
  </si>
  <si>
    <t>D.10.1.</t>
  </si>
  <si>
    <t>iš šio skaičiaus:                            individualiuose namuose</t>
  </si>
  <si>
    <t>D.10.2</t>
  </si>
  <si>
    <t>daugiabučiuose namuose</t>
  </si>
  <si>
    <t>D.10.3</t>
  </si>
  <si>
    <t xml:space="preserve">abonentų skaitikliai </t>
  </si>
  <si>
    <t xml:space="preserve">Skaitiklių butuose skaičius </t>
  </si>
  <si>
    <t>Vandentiekyje likviduotų avarijų skaičius</t>
  </si>
  <si>
    <t>E. NUOTEKŲ SURINKIMAS</t>
  </si>
  <si>
    <t>Kanalizacijos sistemų skaičius</t>
  </si>
  <si>
    <t xml:space="preserve">Nuotekų perpumpavimo stočių skaičius </t>
  </si>
  <si>
    <t xml:space="preserve">Perpumpavimo stotyse instaliuotų siurblių skaičius </t>
  </si>
  <si>
    <t>Vidutinis svertinis nuotekų pakėlimo aukštis surinkime (įvertinant slėgį)</t>
  </si>
  <si>
    <t>Nuotekų tinklų ilgis</t>
  </si>
  <si>
    <t xml:space="preserve">iš šio skaičiaus:                                          spaudiminių tinklų  </t>
  </si>
  <si>
    <t xml:space="preserve">Kanalizacijos išvadų skaičius </t>
  </si>
  <si>
    <t xml:space="preserve">Kanalizavimo paslaugų vartotojų ir abonentų skaičius  </t>
  </si>
  <si>
    <t xml:space="preserve">iš šio skaičiaus:                                              butų skaičius </t>
  </si>
  <si>
    <t>individualių namų skaičius</t>
  </si>
  <si>
    <t>abonentų skaičius</t>
  </si>
  <si>
    <t xml:space="preserve">          Kanalizacijoje likviduotų avarijų skaičius</t>
  </si>
  <si>
    <t>F. PAVIRŠINIŲ NUOTEKŲ SURINKIMAS**</t>
  </si>
  <si>
    <t>Paviršinių nuotekų sistemų skaičius</t>
  </si>
  <si>
    <t xml:space="preserve">Paviršinių nuotekų perpumpavimo stočių skaičius </t>
  </si>
  <si>
    <t xml:space="preserve">Paviršinių nuotekų perpumpavimo stotyse instaliuotų siurblių skaičius </t>
  </si>
  <si>
    <t>Vidutinis svertinis paviršinių nuotekų pakėlimo aukštis surinkime (įvertinant slėgį)</t>
  </si>
  <si>
    <t>Paviršinių nuotekų tinklų ilgis</t>
  </si>
  <si>
    <t>F.5.1.</t>
  </si>
  <si>
    <t xml:space="preserve">Paviršinių nuotekų išleistuvų skaičius </t>
  </si>
  <si>
    <t xml:space="preserve">Paviršinių nuotekų tvarkymo paslaugų abonentų skaičius  </t>
  </si>
  <si>
    <t xml:space="preserve">          paviršinių nuotekų tinkluose likviduotų avarijų skaičius</t>
  </si>
  <si>
    <t>G. BUITINIŲ IR GAMYBINIŲ NUOTEKŲ VALYMAS</t>
  </si>
  <si>
    <t xml:space="preserve">Filtracijos laukų skaičius  </t>
  </si>
  <si>
    <t xml:space="preserve">Filtracijos laukų plotas  </t>
  </si>
  <si>
    <t>ha</t>
  </si>
  <si>
    <t xml:space="preserve">Metinis filtravimo laukuose išvalytų nuotekų kiekis  </t>
  </si>
  <si>
    <t>G.4.</t>
  </si>
  <si>
    <t>Mechaninio valymo įrenginių skaičius</t>
  </si>
  <si>
    <t>G.5.</t>
  </si>
  <si>
    <t>Metinis mechaninio valymo įrenginiuose išvalytų nuotekų kiekis</t>
  </si>
  <si>
    <t>G.6.</t>
  </si>
  <si>
    <t>Biologinio su mechaninio valymo įrenginių skaičius</t>
  </si>
  <si>
    <t>G.7.</t>
  </si>
  <si>
    <t>Metinis biologinio su mech. valymo įrenginiuose išvalytų nuotekų kiekis</t>
  </si>
  <si>
    <t>G.8.</t>
  </si>
  <si>
    <t>Denitrifikacijos su biologinio ir mechaninio valymo įrenginių skaičius</t>
  </si>
  <si>
    <t>G.9.</t>
  </si>
  <si>
    <t>Metinis denitrifikacijos su biolog.ir mech. įrenginiuose išvalytų nuotekų kiekis</t>
  </si>
  <si>
    <t>G.10.</t>
  </si>
  <si>
    <t>Nuotekų valyklose esančių orapūčių kiekis</t>
  </si>
  <si>
    <t>G.11.</t>
  </si>
  <si>
    <t>Nuotekų valyklose esančių siurblių skaičius</t>
  </si>
  <si>
    <t>G.12.</t>
  </si>
  <si>
    <t>Kitų darbo mašinų ir įrengimų skaičius</t>
  </si>
  <si>
    <t>G.13.</t>
  </si>
  <si>
    <t>Atitekančių nuotekų taršos koncentracija</t>
  </si>
  <si>
    <t>G.13.1.</t>
  </si>
  <si>
    <t xml:space="preserve">pagal:                    biocheminis deguonies suvartojimas (BDS7)  </t>
  </si>
  <si>
    <t>G.13.2.</t>
  </si>
  <si>
    <t xml:space="preserve">         suspenduotos medžiagos (SM) </t>
  </si>
  <si>
    <t>G.13..3.</t>
  </si>
  <si>
    <t>riebalai (R)</t>
  </si>
  <si>
    <t>G.13.4.</t>
  </si>
  <si>
    <t xml:space="preserve">         azotas (N)</t>
  </si>
  <si>
    <t>G.13.5.</t>
  </si>
  <si>
    <t xml:space="preserve">         fosforas (P)</t>
  </si>
  <si>
    <t>G.14.</t>
  </si>
  <si>
    <t>Išleidžiamų nuotekų taršos koncentracija</t>
  </si>
  <si>
    <t>G.14.1.</t>
  </si>
  <si>
    <t xml:space="preserve">pagal:                    biocheminis deguonies suvartojimas (BDS7) </t>
  </si>
  <si>
    <t>G.14.2.</t>
  </si>
  <si>
    <t>G.14.3.</t>
  </si>
  <si>
    <t>G.14.4.</t>
  </si>
  <si>
    <t>G.14.5.</t>
  </si>
  <si>
    <t>G.15.</t>
  </si>
  <si>
    <t>Padidėjusios taršos pirminio ir perteklinio dumblo kiekiai</t>
  </si>
  <si>
    <t>G.15.1.</t>
  </si>
  <si>
    <t>Dumblo kiekis dėl padidėjusios koncentracijos BDS7</t>
  </si>
  <si>
    <t>tonos</t>
  </si>
  <si>
    <t>G.15.2.</t>
  </si>
  <si>
    <t>Dumblo kiekis dėl padidėjusios koncentracijos SM</t>
  </si>
  <si>
    <t>G.15.3.</t>
  </si>
  <si>
    <t>Dumblo kiekis dėl padidėjusios koncentracijos azoto junginių</t>
  </si>
  <si>
    <t>G.15.4.</t>
  </si>
  <si>
    <t>Dumblo kiekis dėl padidėjusios koncentracijos fosforo junginių</t>
  </si>
  <si>
    <t>G.16.</t>
  </si>
  <si>
    <t>Pašalinta teršalų iš išvalytų atitekančių nuotekų</t>
  </si>
  <si>
    <t>G.16.1.</t>
  </si>
  <si>
    <t>G.17.</t>
  </si>
  <si>
    <t>IŠVALYTŲ  NUOTEKŲ KIEKIS</t>
  </si>
  <si>
    <t>H. PAVIRŠINIŲ NUOTEKŲ VALYMAS **</t>
  </si>
  <si>
    <t>H.1.</t>
  </si>
  <si>
    <t>IŠVALYTŲ PAVIRŠINIŲ NUOTEKŲ KIEKIS</t>
  </si>
  <si>
    <t>H.2.</t>
  </si>
  <si>
    <t>Paviršinių nuotekų valymo įrenginių skaičius</t>
  </si>
  <si>
    <t>H.2.1.</t>
  </si>
  <si>
    <t>Darbo mašinų ir įrengimų skaičius valymo įrenginiuose</t>
  </si>
  <si>
    <t>H.3.</t>
  </si>
  <si>
    <t>Atitekančių paviršinių nuotekų taršos koncentracija</t>
  </si>
  <si>
    <t>H.3.1.</t>
  </si>
  <si>
    <t>H.3.2.</t>
  </si>
  <si>
    <t>H.3.3.</t>
  </si>
  <si>
    <t>naftos produktai (NP)</t>
  </si>
  <si>
    <t>H.4.</t>
  </si>
  <si>
    <t>Išleidžiamų paviršinių nuotekų taršos koncentracija</t>
  </si>
  <si>
    <t>H.4.1.</t>
  </si>
  <si>
    <t>H.4.2.</t>
  </si>
  <si>
    <t>H.4.3.</t>
  </si>
  <si>
    <t>H.5.</t>
  </si>
  <si>
    <t>H.5.1.</t>
  </si>
  <si>
    <t>I. NUOTEKŲ DUMBLO TVARKYMAS</t>
  </si>
  <si>
    <t>Valyklose susidariusio nuotekų dumblo kiekis</t>
  </si>
  <si>
    <t>I.2.</t>
  </si>
  <si>
    <t xml:space="preserve">Valyklose susidariusio nuotekų dumblo vidutinis  drėgnumas  </t>
  </si>
  <si>
    <t>I.3.</t>
  </si>
  <si>
    <t>Valyklose susidariusio nuotekų dumblo  kiekis sausomis medžiagomis</t>
  </si>
  <si>
    <t>tūkst. tonų</t>
  </si>
  <si>
    <t>I.4.</t>
  </si>
  <si>
    <t>Nuotekų dumblo tvarkymo darbo mašinų ir įrengimų skaičius</t>
  </si>
  <si>
    <t>I.5.</t>
  </si>
  <si>
    <t>Nuotekų dumblo tankinimas arba sausinimas</t>
  </si>
  <si>
    <t>I.5.1.</t>
  </si>
  <si>
    <t>Nuotekų dumblo kiekis tankinimui ir (arba) sausinimui</t>
  </si>
  <si>
    <t>I.5.2.</t>
  </si>
  <si>
    <t>Nuotekų dumblo vidutinis drėgnumas po tankinimo ir (arba) sausinimo</t>
  </si>
  <si>
    <t>I.5.3.</t>
  </si>
  <si>
    <t>Nuotekų dumblo kiekis sausomis medžiagomis po tankinimo ir (arba) sausinimo</t>
  </si>
  <si>
    <t>I.5.4.</t>
  </si>
  <si>
    <t>Nuotekų dumblo tankinimo ir (arba) sausinimo darbo mašinų ir įrengimų skaičius</t>
  </si>
  <si>
    <t>I.6.</t>
  </si>
  <si>
    <t>Nuotekų dumblo anaerobinis apdorojimas</t>
  </si>
  <si>
    <t>I.6.1.</t>
  </si>
  <si>
    <t xml:space="preserve">Anaerobiniui apdorojimui paruošto nuotekų dumblo kiekis </t>
  </si>
  <si>
    <t>I.6.2.</t>
  </si>
  <si>
    <t>Vidutinis nuotekų dumblo drėgnumas po anaerobinio apdorojimo</t>
  </si>
  <si>
    <t>I.6.3.</t>
  </si>
  <si>
    <t>Nuotekų dumblo kiekis sausomis medžiagomis po anaerobinio apdorojimo</t>
  </si>
  <si>
    <t>I.6.4.</t>
  </si>
  <si>
    <t>Nuotekų dumblo pūdymo darbo mašinų ir įrengimų skaičius</t>
  </si>
  <si>
    <t>I.7.</t>
  </si>
  <si>
    <t>Anaerobiškai apdoroto nuotekų dumblo sausinimas</t>
  </si>
  <si>
    <t>I.7.1.</t>
  </si>
  <si>
    <t xml:space="preserve">Anaerobiškai apdoroto nuotekų dumblo, skirto sausinimui kiekis </t>
  </si>
  <si>
    <t>I.7.2.</t>
  </si>
  <si>
    <t>Vidutinis nuotekų dumblo drėgnumas po anaerobiškai apdoroto nuotekų dumblo sausinimo</t>
  </si>
  <si>
    <t>I.7.3.</t>
  </si>
  <si>
    <t>Nuotekų dumblo kiekis sausomis medžiagomis po anaerobiškai apdoroto nuotekų dumblo sausinimo</t>
  </si>
  <si>
    <t>tūkst. Tonų</t>
  </si>
  <si>
    <t>I.7.4.</t>
  </si>
  <si>
    <t>Nuotekų dumblo sausinimo po anaerobinio apdorojimo darbo mašinų ir prietaisų skaičius</t>
  </si>
  <si>
    <t>I.8.</t>
  </si>
  <si>
    <t>Nuotekų dumblo džiovinimas</t>
  </si>
  <si>
    <t>I.8.1.</t>
  </si>
  <si>
    <t>Nuotekų dumblo kiekis džiovinimui</t>
  </si>
  <si>
    <t>I.8.2.</t>
  </si>
  <si>
    <t>Nuotekų dumblo vidutinis drėgnumas po džiovinimo</t>
  </si>
  <si>
    <t>I.8.3.</t>
  </si>
  <si>
    <t>Nuotekų dumblo kiekis sausomis medžiagomis po džiovinimo</t>
  </si>
  <si>
    <t>I.8.4.</t>
  </si>
  <si>
    <t>Nuotekų dumblo džiovinimo darbo mašinų ir įrengimų skaičius</t>
  </si>
  <si>
    <t>I.9.</t>
  </si>
  <si>
    <t>Nuotekų dumblo kompostavimas</t>
  </si>
  <si>
    <t>I.9.1.</t>
  </si>
  <si>
    <t>Komposto kiekis</t>
  </si>
  <si>
    <t>I.9.2.</t>
  </si>
  <si>
    <t>Komposto drėgnumas</t>
  </si>
  <si>
    <t>I.9.3.</t>
  </si>
  <si>
    <t>Sausų medžiagų kiekis komposte</t>
  </si>
  <si>
    <t>I.9.4.</t>
  </si>
  <si>
    <t>Metinis nuotekų dumblo kiekis išvežimui (panaudojimui)</t>
  </si>
  <si>
    <t>I.9.5.</t>
  </si>
  <si>
    <t>I.10.</t>
  </si>
  <si>
    <t>Nuotekų dumblas galutiniam produktui</t>
  </si>
  <si>
    <t>I.10.1.</t>
  </si>
  <si>
    <t>Paruošto nuotekų dumblo kiekis briketų, granulių gamybai</t>
  </si>
  <si>
    <t>I.10.2.</t>
  </si>
  <si>
    <t>Paruošto nuotekų dumblo drėgnumas</t>
  </si>
  <si>
    <t>I.10.3.</t>
  </si>
  <si>
    <t xml:space="preserve">Sausų medžiagų kiekis paruoštame nuotekų dumble </t>
  </si>
  <si>
    <t>I.10.4.</t>
  </si>
  <si>
    <t>Pagamintų briketų kiekis</t>
  </si>
  <si>
    <t>I.10.5.</t>
  </si>
  <si>
    <t>Pagamintų granulių kiekis</t>
  </si>
  <si>
    <t>I.10.6.</t>
  </si>
  <si>
    <t>I.10.7.</t>
  </si>
  <si>
    <t>J. TRANSPORTO   ŪKIS</t>
  </si>
  <si>
    <t>J.1.</t>
  </si>
  <si>
    <t>Transporto priemonių skaičius</t>
  </si>
  <si>
    <t>J.1.1.</t>
  </si>
  <si>
    <t>iš jų:                     transporto priemonės geriamajam vandeniui vežti</t>
  </si>
  <si>
    <t>J.1.2.</t>
  </si>
  <si>
    <t xml:space="preserve">         asenizacinės mašinos</t>
  </si>
  <si>
    <t>J.1.3.</t>
  </si>
  <si>
    <t xml:space="preserve">         transporto priemonės dumblui vežti</t>
  </si>
  <si>
    <t>J.1.4</t>
  </si>
  <si>
    <t xml:space="preserve">         kitos (specialiosios) transporto priemonės</t>
  </si>
  <si>
    <t>J.1.5</t>
  </si>
  <si>
    <t>transporto priemonės personalui vežti</t>
  </si>
  <si>
    <t>J.1.5.1.</t>
  </si>
  <si>
    <t>iš šio skaičiaus:                 geriamojo vandens laboratorijai</t>
  </si>
  <si>
    <t>J.1.5.2.</t>
  </si>
  <si>
    <t>nuotekų laboratorijai</t>
  </si>
  <si>
    <t>J.1.5.3.</t>
  </si>
  <si>
    <t>abonentinės tarnybos personalui</t>
  </si>
  <si>
    <t>J.1.5.4.</t>
  </si>
  <si>
    <t>administracijos personalui</t>
  </si>
  <si>
    <t>J.1.5.5.</t>
  </si>
  <si>
    <t>kitų padalinių personalui</t>
  </si>
  <si>
    <r>
      <t>*mH</t>
    </r>
    <r>
      <rPr>
        <b/>
        <vertAlign val="subscript"/>
        <sz val="10"/>
        <rFont val="Times New Roman"/>
        <family val="1"/>
        <charset val="186"/>
      </rPr>
      <t>2</t>
    </r>
    <r>
      <rPr>
        <b/>
        <sz val="10"/>
        <rFont val="Times New Roman"/>
        <family val="1"/>
        <charset val="186"/>
      </rPr>
      <t>O</t>
    </r>
  </si>
  <si>
    <t>aukštis, įvertinant slėgį atidavimo taške ir slėgio netektis vamzdyne, išreikštas vandens stulpo aukščio metrais</t>
  </si>
  <si>
    <t>**</t>
  </si>
  <si>
    <t>pildyti tik esant atskirai paviršinių nuotekų tvarkymo sistemai</t>
  </si>
  <si>
    <t>Geriamojo vandens tiekimo ir nuotekų tvarkymo bei paviršinių nuotekų tvarkymo paslaugų įmonių apskaitos atskyrimo taisyklių ir susijusių reikalavimų sąvado 10 priedas</t>
  </si>
  <si>
    <t xml:space="preserve">Ataskaitinio laikotarpio personalo duomenų ataskaita </t>
  </si>
  <si>
    <t>RODIKLIS</t>
  </si>
  <si>
    <t>Pastabos</t>
  </si>
  <si>
    <t>Vidutinis sąlyginis darbuotojų skaičius</t>
  </si>
  <si>
    <t>Vidutinis sąrašinis darbuotojų skaičius</t>
  </si>
  <si>
    <t>A</t>
  </si>
  <si>
    <t xml:space="preserve">DARBUOTOJŲ SKAIČIUS ĮMONĖJE IŠ VISO </t>
  </si>
  <si>
    <t>darb.</t>
  </si>
  <si>
    <t>B</t>
  </si>
  <si>
    <t xml:space="preserve">DARBUOTOJŲ SKAIČIUS REGULIUOJAMOJE VEIKLOJE </t>
  </si>
  <si>
    <t>B.1</t>
  </si>
  <si>
    <t xml:space="preserve">Tiesiogiai priskirtų reguliuojamai veiklai darbuotojų skaičius </t>
  </si>
  <si>
    <t>Geriamojo vandens tiekimo (GVT) veikloje</t>
  </si>
  <si>
    <t>B.1.1.1.</t>
  </si>
  <si>
    <t>iš šio skaičiaus:                     vandens gavyboje</t>
  </si>
  <si>
    <t>B.1.1.2.</t>
  </si>
  <si>
    <t>vandens ruošime</t>
  </si>
  <si>
    <t>B.1.1.3.</t>
  </si>
  <si>
    <t>vandens pristatyme</t>
  </si>
  <si>
    <t xml:space="preserve">Nuotekų tvarkymo (NT) veikloje
</t>
  </si>
  <si>
    <t>B.1.2.1.</t>
  </si>
  <si>
    <t>iš šio skaičiaus:    nuotekų surinkime</t>
  </si>
  <si>
    <t>B.1.2.2.</t>
  </si>
  <si>
    <t>nuotekų valyme</t>
  </si>
  <si>
    <t>B.1.2.3.</t>
  </si>
  <si>
    <t>nuotekų dumblo tvarkyme</t>
  </si>
  <si>
    <t>Paviršinių nuotekų tvarkymo veikloje*</t>
  </si>
  <si>
    <t xml:space="preserve">Apskaitos veikloje </t>
  </si>
  <si>
    <t>B.2</t>
  </si>
  <si>
    <t xml:space="preserve">Netiesiogiai priskiriamų reguliuojamai GVTNT veiklai darbuotojų skaičius </t>
  </si>
  <si>
    <t>Reguliuojamai GVTNT veiklai bendrai priskiriamų administracijos darbuotojų skaičius</t>
  </si>
  <si>
    <t>C</t>
  </si>
  <si>
    <t>DARBUOTOJŲ SKAIČIUS KITOSE VEIKLOSE</t>
  </si>
  <si>
    <t>D</t>
  </si>
  <si>
    <t xml:space="preserve"> SANTYKINIAI RODIKLIAI</t>
  </si>
  <si>
    <t>D.1</t>
  </si>
  <si>
    <t>GVT veiklai tiesiogiai priskirtų darbuotojų vidutinis darbo užmokestis</t>
  </si>
  <si>
    <t>Eur/mėn.</t>
  </si>
  <si>
    <t>D.1.1.</t>
  </si>
  <si>
    <t>GVT veiklai tiesiogiai priskirtų darbuotojų darbo užmokesčio sąnaudos</t>
  </si>
  <si>
    <t>tūkst. Eur</t>
  </si>
  <si>
    <t>NT veiklai tiesiogiai priskirtų darbuotojų vidutinis darbo užmokestis</t>
  </si>
  <si>
    <t>NT veiklai tiesiogiai priskirtų darbuotojų darbo užmokesčio sąnaudos</t>
  </si>
  <si>
    <t>Paviršinių nuotekų tvarkymo veiklai priskirtų darbuotojų vidutinis darbo užmokestis*</t>
  </si>
  <si>
    <t>D.3.1.</t>
  </si>
  <si>
    <t>Paviršinių nuotekų tvarkymui tiesiogiai priskirtų darbuotojų vidutinis darbo užmokestis</t>
  </si>
  <si>
    <t>Apskaitos veiklai tiesiogiai priskirtų darbuotojų vidutinis darbo užmokestis</t>
  </si>
  <si>
    <t>D.4.1.</t>
  </si>
  <si>
    <t>Apskaitos veiklai tiesiogiai priskirtų darbuotojų darbo užmokesčio sąnaudos</t>
  </si>
  <si>
    <t>Netiesiogiai priskiriamų reguliuojamai veiklai darbuotojų vidutinis darbo užmokestis</t>
  </si>
  <si>
    <t>Netiesiogiai priskiriamų reguliuojamai veiklai darbuotojų darbo užmokesčio sąnaudos</t>
  </si>
  <si>
    <t>Bendrai priskiriamų reguliuojamai veiklai darbuotojų vidutinis darbo užmokestis</t>
  </si>
  <si>
    <t>D.6.1.</t>
  </si>
  <si>
    <t>Reguliuojamai veiklai bendrai priskiriamų administracijos darbuotojų darbo užmokesčio sąnaudos</t>
  </si>
  <si>
    <t>Vidutinis darbo užmokestis reguliuojamoje veikloje</t>
  </si>
  <si>
    <t>Tiesiogiai ir netiesiogiai priskirtų reguliuojamai veiklai darbuotojų skaičius, tenkantis 1 bendrai reguliuojamai veiklai priskiriamam administracijos darbuotojui</t>
  </si>
  <si>
    <t>* pildyti tik esant atskirai paviršinių nuotekų tvarkymo sistemai</t>
  </si>
  <si>
    <t>Geriamojo vandens tiekimo ir nuotekų tvarkymo bei paviršinių nuotekų tvarkymo paslaugų įmonių apskaitos atskyrimo taisyklių ir susijusių reikalavimų sąvado 11 priedas</t>
  </si>
  <si>
    <t>Ataskaitinio laikotarpio elektros energijos (įskaitant ir savo pasigamintą) suvartojimo ataskaita</t>
  </si>
  <si>
    <t xml:space="preserve"> ELEKTROS ENERGIJOS SUVARTOJIMAS TECHNOLOGINĖMS REIKMĖMS REGULIUOJAMOJE VEIKLOJE  (įskaitant pasigamintą)</t>
  </si>
  <si>
    <t>tūkst. kWh</t>
  </si>
  <si>
    <t>iš šio skaičiaus:  Elektros energija patalpų šildymui ir eksploatacijai</t>
  </si>
  <si>
    <t>A.1.1.1.</t>
  </si>
  <si>
    <t>A.1.1.2.</t>
  </si>
  <si>
    <t>A.1.1.3.</t>
  </si>
  <si>
    <t>A.1.1.4.</t>
  </si>
  <si>
    <t xml:space="preserve"> nuotekų surinkime</t>
  </si>
  <si>
    <t>A.1.1.5.</t>
  </si>
  <si>
    <t>A.1.1.6.</t>
  </si>
  <si>
    <t>A.1.1.7.</t>
  </si>
  <si>
    <t>paviršinių nuotekų tvarkyme*</t>
  </si>
  <si>
    <t>A.1.1.8.</t>
  </si>
  <si>
    <t>netiesioginėje veikloje</t>
  </si>
  <si>
    <t>Elektros energija vandens ir nuotekų siurbliams,  orapūtėms, maišyklėms ir kitiems technologiniams įrenginiams</t>
  </si>
  <si>
    <t>A.1.2.1.</t>
  </si>
  <si>
    <t>A.1.2.2.</t>
  </si>
  <si>
    <t>A.1.2.3.</t>
  </si>
  <si>
    <t>A.1.2.4.</t>
  </si>
  <si>
    <t>A.1.2.5.</t>
  </si>
  <si>
    <t>A.1.2.6.</t>
  </si>
  <si>
    <t>A.1.2.7.</t>
  </si>
  <si>
    <t>A.1.2.8.</t>
  </si>
  <si>
    <t>ELEKTROS ENERGIJOS SUVARTOJIMAS REGULIUOJAMOJE VEIKLOJE IŠ VISO  (įskaitant pasigamintą)</t>
  </si>
  <si>
    <t>tiesiogiai ir netiesiogiai</t>
  </si>
  <si>
    <t>Administracinėje veikloje (bendrai) sunaudota elektra</t>
  </si>
  <si>
    <t>bendros sąnaudos</t>
  </si>
  <si>
    <t xml:space="preserve"> ELEKTROS ENERGIJOS SUVARTOJIMAS KITOSE VEIKLOSE</t>
  </si>
  <si>
    <t>PASIGAMINTA ELEKTROS ENERGIJA</t>
  </si>
  <si>
    <t>ELEKTROS ENERGIJOS GAMYBOS IR SUVARTOJIMO BALANSAS (B.+C.-D.)</t>
  </si>
  <si>
    <t xml:space="preserve"> ELEKTROS ENERGIJOS SUVARTOJIMO SANTYKINIAI RODIKLIAI</t>
  </si>
  <si>
    <t xml:space="preserve"> </t>
  </si>
  <si>
    <t>F.1.1.</t>
  </si>
  <si>
    <t>Elektros energijos suvartojimas vandens gavybos ir pristatymo veikloje</t>
  </si>
  <si>
    <r>
      <t>kWh/m³/100mH</t>
    </r>
    <r>
      <rPr>
        <b/>
        <vertAlign val="subscript"/>
        <sz val="10"/>
        <rFont val="Times New Roman"/>
        <family val="1"/>
        <charset val="186"/>
      </rPr>
      <t>2</t>
    </r>
    <r>
      <rPr>
        <b/>
        <sz val="10"/>
        <rFont val="Times New Roman"/>
        <family val="1"/>
        <charset val="186"/>
      </rPr>
      <t>O</t>
    </r>
  </si>
  <si>
    <t>F.1.1.1.</t>
  </si>
  <si>
    <t>Vidutinis svertinis vandens pakėlimo aukštis vandens gavyboje (įvertinant slėgį)</t>
  </si>
  <si>
    <t>mH2O</t>
  </si>
  <si>
    <t>9 priedas</t>
  </si>
  <si>
    <t>F.1.1.2.</t>
  </si>
  <si>
    <t>F.1.1.3.</t>
  </si>
  <si>
    <t>Vidutinis svertinis vandens pakėlimo aukštis vandens pristatyme (įvertinant slėgį)</t>
  </si>
  <si>
    <t>F.1.1.4.</t>
  </si>
  <si>
    <t>Vidutinis svertinis vandens pakėlimo aukštis gręžiniuose ir pakėlimo stotyse</t>
  </si>
  <si>
    <t>F.1.1.5.</t>
  </si>
  <si>
    <t>Išgauto požeminio vandens kiekis  (pirmas pakėlimas)</t>
  </si>
  <si>
    <t>F.1.1.6.</t>
  </si>
  <si>
    <t>Patiekto geriamojo vandens kiekis (antro pakėlimo perpumpavimo stotyse pakelto vandens kiekis)</t>
  </si>
  <si>
    <t>8 priedas</t>
  </si>
  <si>
    <t>F.1.1.7.</t>
  </si>
  <si>
    <t>F.1.2.</t>
  </si>
  <si>
    <t>Elektros energijos suvartojimas vandens ruošimo veikloje</t>
  </si>
  <si>
    <t>kWh/m³</t>
  </si>
  <si>
    <t>F.1.2.1.</t>
  </si>
  <si>
    <r>
      <t>mH</t>
    </r>
    <r>
      <rPr>
        <b/>
        <i/>
        <vertAlign val="subscript"/>
        <sz val="10"/>
        <rFont val="Times New Roman"/>
        <family val="1"/>
        <charset val="186"/>
      </rPr>
      <t>2</t>
    </r>
    <r>
      <rPr>
        <b/>
        <i/>
        <sz val="10"/>
        <rFont val="Times New Roman"/>
        <family val="1"/>
        <charset val="186"/>
      </rPr>
      <t>O</t>
    </r>
  </si>
  <si>
    <t>F.1.2.3.</t>
  </si>
  <si>
    <t xml:space="preserve">Paruošto geriamojo vandens kiekis  </t>
  </si>
  <si>
    <r>
      <t>tūkst. m</t>
    </r>
    <r>
      <rPr>
        <b/>
        <i/>
        <vertAlign val="superscript"/>
        <sz val="10"/>
        <rFont val="Times New Roman"/>
        <family val="1"/>
        <charset val="186"/>
      </rPr>
      <t>3</t>
    </r>
  </si>
  <si>
    <t>F.1.3.</t>
  </si>
  <si>
    <t>Elektros energijos suvartojimas nuotekoms surinkti</t>
  </si>
  <si>
    <t>F.1.3.1.</t>
  </si>
  <si>
    <t>Vidutinis svertinis vandens pakėlimo aukštis nuotekų surinkime (įvertinant slėgį)</t>
  </si>
  <si>
    <t>F.1.3.2.</t>
  </si>
  <si>
    <t xml:space="preserve">Surinktų nuotekų kiekis   </t>
  </si>
  <si>
    <t>F.1.3.3.</t>
  </si>
  <si>
    <t xml:space="preserve">Perpumpuotų nuotekų kiekis  (per pirmąsias siurblines)  </t>
  </si>
  <si>
    <t>F.1.3.4.</t>
  </si>
  <si>
    <t xml:space="preserve">Perpumpuotų nuotekų kiekis  (per per antrąsias, trečiąsias, ketvirtąsias,...n-tąsias siurblines)  </t>
  </si>
  <si>
    <t>F.1.4.</t>
  </si>
  <si>
    <t>Elektros energijos suvartojimas nuotekoms valyti</t>
  </si>
  <si>
    <t>kWh/tona</t>
  </si>
  <si>
    <t>F.1.4.1.</t>
  </si>
  <si>
    <t>Pašalinta teršalų iš išvalytų atitekančių nuotekų (BDS7)</t>
  </si>
  <si>
    <t>F.1.5.</t>
  </si>
  <si>
    <t>Elektros energijos vidutinė kaina reguliuojamoje veikloje</t>
  </si>
  <si>
    <t>Eur/kWh</t>
  </si>
  <si>
    <t>F.1.5.1.</t>
  </si>
  <si>
    <t>Elektros energijos sąnaudos reguliuojamoje veikloje</t>
  </si>
  <si>
    <t>Ūkio subjektas: UAB „Kėdainių vandenys“</t>
  </si>
  <si>
    <t>Ataskaitinis laikotarpis: 2023-01-01 - 2023-12-31</t>
  </si>
  <si>
    <t>C.1.  Punktui Tiesiogiai paslaugoms priskirto naudojamo turto buhalterinė įsigijimo vertė</t>
  </si>
  <si>
    <t>C1.Elektros energija įrenginiams</t>
  </si>
  <si>
    <t>C2.Elektros energija patalpų eksploatacijai</t>
  </si>
  <si>
    <t>C.2.  Punktui  Tiesiogiai paslaugoms priskirto naudojamo turto buhalterinė įsigijimo vertė</t>
  </si>
  <si>
    <t>E1.Kuras mašinoms ir gamybiniam transportui</t>
  </si>
  <si>
    <t>E2.Kuras lengviesiams automobiliams</t>
  </si>
  <si>
    <t>C.3.  Punktui  Tiesiogiai paslaugoms priskirto naudojamo turto buhalterinė įsigijimo vertė</t>
  </si>
  <si>
    <t>C3.Šilumos energija</t>
  </si>
  <si>
    <t>C.4.  Punktui  Tiesiogiai paslaugoms priskirto naudojamo turto buhalterinė įsigijimo vertė</t>
  </si>
  <si>
    <t>A3.Eksploatacinės medžiagos ir remontas</t>
  </si>
  <si>
    <t>A4.Remonto ir aptarnavimo paslaugų pirkimo sąnaudos</t>
  </si>
  <si>
    <t>A5.Metrologinės patikros sąnaudos</t>
  </si>
  <si>
    <t>A6.Avarijų šalinimo sąnaudos</t>
  </si>
  <si>
    <t xml:space="preserve">A7.Kitos techninio aptarnavimo ir patikros paslaugos </t>
  </si>
  <si>
    <t>A1.Ilgalaikio turto nusidėvėjimas</t>
  </si>
  <si>
    <t>C.5.  Punktui Tiesiogiai paslaugoms priskirto naudojamo turto buhalterinė įsigijimo vertė</t>
  </si>
  <si>
    <t>C.6.  Punktui Tiesiogiai paslaugoms priskirto naudojamo turto buhalterinė įsigijimo vertė</t>
  </si>
  <si>
    <t>B1.Darbo užmokestis</t>
  </si>
  <si>
    <t>B2.Soc. draudimas</t>
  </si>
  <si>
    <t>B3.Darbo saugos priemonės</t>
  </si>
  <si>
    <t>B4.Personalo mokymas, atestavimas</t>
  </si>
  <si>
    <t>B5.Kitos personalo sąnaudos</t>
  </si>
  <si>
    <t>C.7.  Punktui Tiesiogiai paslaugoms priskirto naudojamo turto buhalterinė įsigijimo vertė</t>
  </si>
  <si>
    <t>L3.Nekilnojamo turto mokesčai</t>
  </si>
  <si>
    <t>L4.Žemės nuomos mokesčiai</t>
  </si>
  <si>
    <t>L6.Kiti mokesčiai</t>
  </si>
  <si>
    <t>C.8.  Punktui Tiesiogiai paslaugoms priskirto naudojamo turto buhalterinė įsigijimo vertė</t>
  </si>
  <si>
    <t>I1.Bankų paslaugos</t>
  </si>
  <si>
    <t xml:space="preserve">K12.Kitos finansinės sąnaudos			</t>
  </si>
  <si>
    <t>C.9.  Punktui Tiesiogiai paslaugoms priskirto naudojamo turto buhalterinė įsigijimo vertė</t>
  </si>
  <si>
    <t>I3.Teisinės paslaugos</t>
  </si>
  <si>
    <t xml:space="preserve">K8.Žyminio mokesčio sąnaudos			</t>
  </si>
  <si>
    <t>I9.Konsultacinės paslaugos</t>
  </si>
  <si>
    <t>I2.Telekomunikacijos paslaugos</t>
  </si>
  <si>
    <t>K6.Pašto, pasiuntinių paslaugų sąnaudos</t>
  </si>
  <si>
    <t>K1.Kanceliarinės sąnaudos</t>
  </si>
  <si>
    <t xml:space="preserve">I7.Org. inventoriaus aptarnavimo sąnaudos		</t>
  </si>
  <si>
    <t xml:space="preserve">K7.Profesinės literatūros, spaudos sąnaudos			</t>
  </si>
  <si>
    <t>I6.Patalpų priežiūros paslaugų pirkimo sąnaudos</t>
  </si>
  <si>
    <t>I10.Apskaitos ir audito paslaugų pirkimo sąnaudos</t>
  </si>
  <si>
    <t>F1.Transporto paslaugų pirkimo sąnaudos</t>
  </si>
  <si>
    <t>I4.Gyventojų įmokų administravimas</t>
  </si>
  <si>
    <t>K3.Vartotojų informavimo paslaugų pirkimo sąnaudos</t>
  </si>
  <si>
    <t>K5.Administracinės ir kitos sąnaudos</t>
  </si>
  <si>
    <t>K4.Rinkodaros ir pardavimų sąnaudos</t>
  </si>
  <si>
    <t>C.10.  Punktui Tiesiogiai paslaugoms priskirto naudojamo turto buhalterinė įsigijimo vertė</t>
  </si>
  <si>
    <t xml:space="preserve">K10.Kitos pastovios sąnaudos			</t>
  </si>
  <si>
    <t>C.11.  Punktui Tiesiogiai paslaugoms priskirto naudojamo turto buhalterinė įsigijimo vertė</t>
  </si>
  <si>
    <t>I.1.standartinė programinė įranga</t>
  </si>
  <si>
    <t>C.1.1  Punktui Tiesiogiai paslaugoms priskirto naudojamo turto buhalterinė įsigijimo vertė</t>
  </si>
  <si>
    <t>I.1.spec. programinė įranga</t>
  </si>
  <si>
    <t>C.1.2.  Punktui Tiesiogiai paslaugoms priskirto naudojamo turto buhalterinė įsigijimo vertė</t>
  </si>
  <si>
    <t>I.1.kitas nematerialus turtas</t>
  </si>
  <si>
    <t>C.1.3.  Punktui Tiesiogiai paslaugoms priskirto naudojamo turto buhalterinė įsigijimo vertė</t>
  </si>
  <si>
    <t>II.2.1.Pastatai</t>
  </si>
  <si>
    <t>C.2.1  Punktui Tiesiogiai paslaugoms priskirto naudojamo turto buhalterinė įsigijimo vertė</t>
  </si>
  <si>
    <t>II.2.2.1.keliai</t>
  </si>
  <si>
    <t>C.2.2. Punktui Tiesiogiai paslaugoms priskirto naudojamo turto buhalterinė įsigijimo vertė</t>
  </si>
  <si>
    <t>II.2.2.2.aikštelės</t>
  </si>
  <si>
    <t>C.2.3  Punktui Tiesiogiai paslaugoms priskirto naudojamo turto buhalterinė įsigijimo vertė</t>
  </si>
  <si>
    <t>II.2.2.3.šaligatviai</t>
  </si>
  <si>
    <t>C.2.4  Punktui Tiesiogiai paslaugoms priskirto naudojamo turto buhalterinė įsigijimo vertė</t>
  </si>
  <si>
    <t xml:space="preserve">II.2.2.4.tvoros </t>
  </si>
  <si>
    <t>C.2.5  Punktui Tiesiogiai paslaugoms priskirto naudojamo turto buhalterinė įsigijimo vertė</t>
  </si>
  <si>
    <t>II.2.3.vamzdynai</t>
  </si>
  <si>
    <t>C.2.6  Punktui Tiesiogiai paslaugoms priskirto naudojamo turto buhalterinė įsigijimo vertė</t>
  </si>
  <si>
    <t>II.2.4.ŠIL_KV vamzdynai</t>
  </si>
  <si>
    <t>C.3.1.  Punktui Tiesiogiai paslaugoms priskirto naudojamo turto buhalterinė įsigijimo vertė</t>
  </si>
  <si>
    <t>II.2.5.saulės elektrinė</t>
  </si>
  <si>
    <t>C.3.2.  Punktui Tiesiogiai paslaugoms priskirto naudojamo turto buhalterinė įsigijimo vertė</t>
  </si>
  <si>
    <t>II.2.6.Kiti įrenginiai</t>
  </si>
  <si>
    <t>C.4.1  Punktui Tiesiogiai paslaugoms priskirto naudojamo turto buhalterinė įsigijimo vertė</t>
  </si>
  <si>
    <t>II.3.1.vandens siurbliai, nuotekų ir dumblo siurbliai virš 5 kW, kita įranga</t>
  </si>
  <si>
    <t>C.4.2  Punktui Tiesiogiai paslaugoms priskirto naudojamo turto buhalterinė įsigijimo vertė</t>
  </si>
  <si>
    <t>II.3.2.nuotekų ir dumblo siurbliai iki 5 kW</t>
  </si>
  <si>
    <t>C.4.3  Punktui Tiesiogiai paslaugoms priskirto naudojamo turto buhalterinė įsigijimo vertė</t>
  </si>
  <si>
    <t>II.4.1. pas klientus įrengti apskaitos prietaisai</t>
  </si>
  <si>
    <t>C.4.4  Punktui Tiesiogiai paslaugoms priskirto naudojamo turto buhalterinė įsigijimo vertė</t>
  </si>
  <si>
    <t>II.4.2. KV apskaitos prietaisai</t>
  </si>
  <si>
    <t>C.4.5  Punktui Tiesiogiai paslaugoms priskirto naudojamo turto buhalterinė įsigijimo vertė</t>
  </si>
  <si>
    <t>II.4.3. ŠIL apskaitos prietaisai</t>
  </si>
  <si>
    <t>C.5.1  Punktui Tiesiogiai paslaugoms priskirto naudojamo turto buhalterinė įsigijimo vertė</t>
  </si>
  <si>
    <t>II.4.4. kiti apskaitos prietaisai</t>
  </si>
  <si>
    <t>C.5.2.  Punktui Tiesiogiai paslaugoms priskirto naudojamo turto buhalterinė įsigijimo vertė</t>
  </si>
  <si>
    <t>II.4.5. įrankiai</t>
  </si>
  <si>
    <t>C.6.1.  Punktui Tiesiogiai paslaugoms priskirto naudojamo turto buhalterinė įsigijimo vertė</t>
  </si>
  <si>
    <t>II.6.2. Kompiuteriai, kompiuteriniai tinklai ir jų įranga</t>
  </si>
  <si>
    <t>C.6.2.  Punktui Tiesiogiai paslaugoms priskirto naudojamo turto buhalterinė įsigijimo vertė</t>
  </si>
  <si>
    <t>II.6.3. Žemė</t>
  </si>
  <si>
    <t>C.6.3.  Punktui Tiesiogiai paslaugoms priskirto naudojamo turto buhalterinė įsigijimo vertė</t>
  </si>
  <si>
    <t>II.Gavyba</t>
  </si>
  <si>
    <t>II.Ruošimas</t>
  </si>
  <si>
    <t>II.Pristatymas</t>
  </si>
  <si>
    <t>III.Surinkimas</t>
  </si>
  <si>
    <t>III.Valymas</t>
  </si>
  <si>
    <t>III.Dumblas</t>
  </si>
  <si>
    <t>III.Pav.nuotekos</t>
  </si>
  <si>
    <t>I.Apskaitos veikla</t>
  </si>
  <si>
    <t>IV.Kita_reguliuojama</t>
  </si>
  <si>
    <t>V.Nereguliuojama</t>
  </si>
  <si>
    <t>Baldai</t>
  </si>
  <si>
    <t>Žemė</t>
  </si>
  <si>
    <t>II.5.1.lengvieji automobiliai</t>
  </si>
  <si>
    <t>II.5.2.kitos transporto priemonės</t>
  </si>
  <si>
    <t>II.6.1. Baldai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</si>
</sst>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000"/>
    <numFmt numFmtId="165" formatCode="#,##0.00000"/>
    <numFmt numFmtId="166" formatCode="#,##0.000"/>
    <numFmt numFmtId="167" formatCode="#,##0.0000"/>
    <numFmt numFmtId="168" formatCode="0.000"/>
    <numFmt numFmtId="169" formatCode="_(* #,##0.00_);_(* \(#,##0.00\);_(* &quot;-&quot;??_);_(@_)"/>
    <numFmt numFmtId="170" formatCode="#,##0.0"/>
    <numFmt numFmtId="171" formatCode="_-* #,##0.00\ _L_t_-;\-* #,##0.00\ _L_t_-;_-* &quot;-&quot;??\ _L_t_-;_-@_-"/>
    <numFmt numFmtId="172" formatCode="0.0"/>
    <numFmt numFmtId="173" formatCode="0.0%"/>
  </numFmts>
  <fonts count="59">
    <font>
      <sz val="11"/>
      <color theme="1"/>
      <name val="Calibri"/>
      <family val="2"/>
      <charset val="186"/>
      <scheme val="minor"/>
    </font>
    <font>
      <sz val="11"/>
      <color theme="1"/>
      <name val="Calibri"/>
      <family val="2"/>
      <charset val="186"/>
      <scheme val="minor"/>
    </font>
    <font>
      <sz val="11"/>
      <color theme="0"/>
      <name val="Calibri"/>
      <family val="2"/>
      <charset val="186"/>
      <scheme val="minor"/>
    </font>
    <font>
      <sz val="9"/>
      <color theme="1"/>
      <name val="Times New Roman"/>
      <family val="1"/>
      <charset val="186"/>
    </font>
    <font>
      <b/>
      <sz val="12"/>
      <color theme="1"/>
      <name val="Times New Roman"/>
      <family val="1"/>
      <charset val="186"/>
    </font>
    <font>
      <sz val="12"/>
      <name val="Times New Roman"/>
      <family val="1"/>
      <charset val="186"/>
    </font>
    <font>
      <b/>
      <sz val="10"/>
      <name val="Times New Roman"/>
      <family val="1"/>
    </font>
    <font>
      <sz val="10"/>
      <name val="Times New Roman"/>
      <family val="1"/>
    </font>
    <font>
      <strike/>
      <sz val="10"/>
      <name val="Times New Roman"/>
      <family val="1"/>
    </font>
    <font>
      <sz val="10"/>
      <name val="Times New Roman"/>
      <family val="1"/>
      <charset val="186"/>
    </font>
    <font>
      <sz val="11"/>
      <name val="Calibri"/>
      <family val="2"/>
      <scheme val="minor"/>
    </font>
    <font>
      <sz val="10"/>
      <color theme="1"/>
      <name val="Times New Roman"/>
      <family val="1"/>
      <charset val="186"/>
    </font>
    <font>
      <sz val="11"/>
      <color theme="1"/>
      <name val="Times New Roman"/>
      <family val="1"/>
      <charset val="186"/>
    </font>
    <font>
      <sz val="10"/>
      <color theme="1"/>
      <name val="Times New Roman"/>
      <family val="1"/>
    </font>
    <font>
      <sz val="11"/>
      <name val="Times New Roman"/>
      <family val="1"/>
      <charset val="186"/>
    </font>
    <font>
      <b/>
      <sz val="12"/>
      <name val="Times New Roman"/>
      <family val="1"/>
      <charset val="186"/>
    </font>
    <font>
      <b/>
      <sz val="9"/>
      <name val="Times New Roman"/>
      <family val="1"/>
      <charset val="186"/>
    </font>
    <font>
      <b/>
      <sz val="10"/>
      <name val="Times New Roman"/>
      <family val="1"/>
      <charset val="186"/>
    </font>
    <font>
      <sz val="9"/>
      <name val="Times New Roman"/>
      <family val="1"/>
      <charset val="186"/>
    </font>
    <font>
      <i/>
      <sz val="9"/>
      <name val="Times New Roman"/>
      <family val="1"/>
      <charset val="186"/>
    </font>
    <font>
      <b/>
      <i/>
      <sz val="9"/>
      <name val="Times New Roman"/>
      <family val="1"/>
      <charset val="186"/>
    </font>
    <font>
      <i/>
      <sz val="11"/>
      <name val="Times New Roman"/>
      <family val="1"/>
      <charset val="186"/>
    </font>
    <font>
      <i/>
      <sz val="10"/>
      <name val="Times New Roman"/>
      <family val="1"/>
      <charset val="186"/>
    </font>
    <font>
      <sz val="10"/>
      <color rgb="FFFF0000"/>
      <name val="Times New Roman"/>
      <family val="1"/>
      <charset val="186"/>
    </font>
    <font>
      <b/>
      <sz val="9"/>
      <name val="Times New Roman"/>
      <family val="1"/>
    </font>
    <font>
      <sz val="11"/>
      <color rgb="FF0000FF"/>
      <name val="Times New Roman"/>
      <family val="1"/>
      <charset val="186"/>
    </font>
    <font>
      <b/>
      <sz val="9"/>
      <color theme="1"/>
      <name val="Times New Roman"/>
      <family val="1"/>
      <charset val="186"/>
    </font>
    <font>
      <sz val="9"/>
      <color rgb="FF0000FF"/>
      <name val="Times New Roman"/>
      <family val="1"/>
      <charset val="186"/>
    </font>
    <font>
      <sz val="10"/>
      <color rgb="FF0000FF"/>
      <name val="Times New Roman"/>
      <family val="1"/>
      <charset val="186"/>
    </font>
    <font>
      <sz val="9"/>
      <name val="Times New Roman"/>
      <family val="1"/>
    </font>
    <font>
      <sz val="11"/>
      <name val="Calibri"/>
      <family val="2"/>
      <charset val="186"/>
      <scheme val="minor"/>
    </font>
    <font>
      <b/>
      <sz val="11"/>
      <color theme="1"/>
      <name val="Times New Roman"/>
      <family val="1"/>
      <charset val="186"/>
    </font>
    <font>
      <b/>
      <sz val="10"/>
      <color theme="1"/>
      <name val="Times New Roman"/>
      <family val="1"/>
      <charset val="186"/>
    </font>
    <font>
      <i/>
      <sz val="10"/>
      <color theme="1"/>
      <name val="Times New Roman"/>
      <family val="1"/>
      <charset val="186"/>
    </font>
    <font>
      <i/>
      <sz val="11"/>
      <color theme="0"/>
      <name val="Calibri"/>
      <family val="2"/>
      <charset val="186"/>
      <scheme val="minor"/>
    </font>
    <font>
      <b/>
      <i/>
      <sz val="10"/>
      <color theme="1"/>
      <name val="Times New Roman"/>
      <family val="1"/>
      <charset val="186"/>
    </font>
    <font>
      <i/>
      <sz val="11"/>
      <color theme="1"/>
      <name val="Times New Roman"/>
      <family val="1"/>
      <charset val="186"/>
    </font>
    <font>
      <sz val="11"/>
      <color theme="0"/>
      <name val="Times New Roman"/>
      <family val="1"/>
      <charset val="186"/>
    </font>
    <font>
      <sz val="10"/>
      <name val="Arial"/>
      <family val="2"/>
    </font>
    <font>
      <b/>
      <vertAlign val="superscript"/>
      <sz val="10"/>
      <name val="Times New Roman"/>
      <family val="1"/>
      <charset val="186"/>
    </font>
    <font>
      <vertAlign val="superscript"/>
      <sz val="10"/>
      <name val="Times New Roman"/>
      <family val="1"/>
      <charset val="186"/>
    </font>
    <font>
      <i/>
      <vertAlign val="superscript"/>
      <sz val="10"/>
      <name val="Times New Roman"/>
      <family val="1"/>
      <charset val="186"/>
    </font>
    <font>
      <i/>
      <sz val="10"/>
      <name val="Times New Roman"/>
      <family val="1"/>
    </font>
    <font>
      <vertAlign val="superscript"/>
      <sz val="11"/>
      <name val="Calibri"/>
      <family val="1"/>
      <charset val="186"/>
      <scheme val="minor"/>
    </font>
    <font>
      <b/>
      <vertAlign val="superscript"/>
      <sz val="10"/>
      <name val="Times New Roman"/>
      <family val="1"/>
    </font>
    <font>
      <sz val="10"/>
      <name val="Calibri"/>
      <family val="2"/>
      <charset val="186"/>
      <scheme val="minor"/>
    </font>
    <font>
      <i/>
      <sz val="11"/>
      <name val="Calibri"/>
      <family val="2"/>
      <scheme val="minor"/>
    </font>
    <font>
      <b/>
      <i/>
      <sz val="11"/>
      <name val="Calibri"/>
      <family val="2"/>
    </font>
    <font>
      <i/>
      <sz val="11"/>
      <name val="Calibri"/>
      <family val="2"/>
    </font>
    <font>
      <vertAlign val="superscript"/>
      <sz val="10"/>
      <name val="Times New Roman"/>
      <family val="1"/>
    </font>
    <font>
      <sz val="12"/>
      <name val="TimesLT"/>
      <family val="1"/>
    </font>
    <font>
      <vertAlign val="subscript"/>
      <sz val="10"/>
      <name val="Times New Roman"/>
      <family val="1"/>
      <charset val="186"/>
    </font>
    <font>
      <b/>
      <vertAlign val="subscript"/>
      <sz val="10"/>
      <name val="Times New Roman"/>
      <family val="1"/>
      <charset val="186"/>
    </font>
    <font>
      <b/>
      <i/>
      <sz val="10"/>
      <name val="Times New Roman"/>
      <family val="1"/>
      <charset val="186"/>
    </font>
    <font>
      <b/>
      <sz val="11"/>
      <name val="Times New Roman"/>
      <family val="1"/>
      <charset val="186"/>
    </font>
    <font>
      <b/>
      <sz val="8"/>
      <name val="Arial"/>
      <family val="2"/>
      <charset val="186"/>
    </font>
    <font>
      <sz val="11"/>
      <color theme="1"/>
      <name val="Calibri"/>
      <family val="2"/>
      <scheme val="minor"/>
    </font>
    <font>
      <b/>
      <i/>
      <vertAlign val="subscript"/>
      <sz val="10"/>
      <name val="Times New Roman"/>
      <family val="1"/>
      <charset val="186"/>
    </font>
    <font>
      <b/>
      <i/>
      <vertAlign val="superscript"/>
      <sz val="10"/>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12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medium">
        <color indexed="64"/>
      </bottom>
      <diagonal/>
    </border>
    <border>
      <left style="medium">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right/>
      <top style="thin">
        <color auto="1"/>
      </top>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medium">
        <color indexed="64"/>
      </right>
      <top/>
      <bottom style="thin">
        <color indexed="64"/>
      </bottom>
      <diagonal/>
    </border>
    <border>
      <left style="double">
        <color indexed="64"/>
      </left>
      <right/>
      <top/>
      <bottom style="thin">
        <color indexed="64"/>
      </bottom>
      <diagonal/>
    </border>
    <border>
      <left style="medium">
        <color indexed="64"/>
      </left>
      <right/>
      <top/>
      <bottom/>
      <diagonal/>
    </border>
    <border>
      <left style="double">
        <color indexed="64"/>
      </left>
      <right/>
      <top/>
      <bottom/>
      <diagonal/>
    </border>
    <border>
      <left style="double">
        <color indexed="64"/>
      </left>
      <right style="medium">
        <color indexed="64"/>
      </right>
      <top/>
      <bottom/>
      <diagonal/>
    </border>
    <border>
      <left style="double">
        <color indexed="64"/>
      </left>
      <right style="medium">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medium">
        <color indexed="64"/>
      </right>
      <top style="medium">
        <color indexed="64"/>
      </top>
      <bottom style="double">
        <color indexed="64"/>
      </bottom>
      <diagonal/>
    </border>
    <border>
      <left style="double">
        <color indexed="64"/>
      </left>
      <right/>
      <top style="medium">
        <color indexed="64"/>
      </top>
      <bottom style="double">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double">
        <color indexed="64"/>
      </bottom>
      <diagonal/>
    </border>
    <border>
      <left/>
      <right style="medium">
        <color indexed="64"/>
      </right>
      <top/>
      <bottom/>
      <diagonal/>
    </border>
    <border>
      <left style="thin">
        <color indexed="64"/>
      </left>
      <right/>
      <top style="double">
        <color indexed="64"/>
      </top>
      <bottom style="double">
        <color indexed="64"/>
      </bottom>
      <diagonal/>
    </border>
    <border>
      <left style="thin">
        <color auto="1"/>
      </left>
      <right/>
      <top/>
      <bottom/>
      <diagonal/>
    </border>
    <border>
      <left style="thin">
        <color indexed="64"/>
      </left>
      <right/>
      <top style="medium">
        <color indexed="64"/>
      </top>
      <bottom style="medium">
        <color indexed="64"/>
      </bottom>
      <diagonal/>
    </border>
    <border>
      <left style="thin">
        <color indexed="64"/>
      </left>
      <right/>
      <top style="thin">
        <color indexed="64"/>
      </top>
      <bottom style="double">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double">
        <color indexed="64"/>
      </bottom>
      <diagonal/>
    </border>
    <border>
      <left style="medium">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auto="1"/>
      </top>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s>
  <cellStyleXfs count="7">
    <xf numFmtId="0" fontId="0" fillId="0" borderId="0"/>
    <xf numFmtId="169" fontId="1" fillId="0" borderId="0" applyFont="0" applyFill="0" applyBorder="0" applyAlignment="0" applyProtection="0"/>
    <xf numFmtId="0" fontId="5" fillId="0" borderId="0"/>
    <xf numFmtId="0" fontId="10" fillId="0" borderId="0"/>
    <xf numFmtId="0" fontId="38" fillId="0" borderId="0"/>
    <xf numFmtId="171" fontId="1" fillId="0" borderId="0" applyFont="0" applyFill="0" applyBorder="0" applyAlignment="0" applyProtection="0"/>
    <xf numFmtId="0" fontId="50" fillId="0" borderId="0"/>
  </cellStyleXfs>
  <cellXfs count="1326">
    <xf numFmtId="0" fontId="0" fillId="0" borderId="0" xfId="0"/>
    <xf numFmtId="0" fontId="3" fillId="0" borderId="0" xfId="0" applyFont="1" applyAlignment="1">
      <alignment horizontal="center" vertical="center" wrapText="1"/>
    </xf>
    <xf numFmtId="0" fontId="4" fillId="0" borderId="0" xfId="0" applyFont="1" applyAlignment="1" applyProtection="1">
      <alignment vertical="center" wrapText="1"/>
      <protection hidden="1"/>
    </xf>
    <xf numFmtId="0" fontId="6" fillId="2" borderId="1" xfId="2" applyFont="1" applyFill="1" applyBorder="1" applyAlignment="1">
      <alignment horizontal="center" vertical="center"/>
    </xf>
    <xf numFmtId="0" fontId="6" fillId="2" borderId="1" xfId="2" applyFont="1" applyFill="1" applyBorder="1" applyAlignment="1">
      <alignment horizontal="center" vertical="center" wrapText="1"/>
    </xf>
    <xf numFmtId="0" fontId="7" fillId="2" borderId="2" xfId="2" applyFont="1" applyFill="1" applyBorder="1" applyAlignment="1">
      <alignment horizontal="center" vertical="center"/>
    </xf>
    <xf numFmtId="0" fontId="6" fillId="2" borderId="2" xfId="2" applyFont="1" applyFill="1" applyBorder="1" applyAlignment="1">
      <alignment horizontal="left" vertical="center" wrapText="1"/>
    </xf>
    <xf numFmtId="0" fontId="8" fillId="2" borderId="2" xfId="2" applyFont="1" applyFill="1" applyBorder="1" applyAlignment="1">
      <alignment horizontal="center" vertical="center"/>
    </xf>
    <xf numFmtId="0" fontId="7" fillId="2" borderId="2" xfId="2" applyFont="1" applyFill="1" applyBorder="1" applyAlignment="1">
      <alignment horizontal="left" vertical="center" wrapText="1"/>
    </xf>
    <xf numFmtId="49" fontId="7" fillId="2" borderId="2" xfId="2" applyNumberFormat="1" applyFont="1" applyFill="1" applyBorder="1" applyAlignment="1">
      <alignment horizontal="center" vertical="center"/>
    </xf>
    <xf numFmtId="0" fontId="7" fillId="2" borderId="3" xfId="2" applyFont="1" applyFill="1" applyBorder="1" applyAlignment="1">
      <alignment horizontal="center" vertical="center"/>
    </xf>
    <xf numFmtId="0" fontId="7" fillId="2" borderId="3" xfId="2" applyFont="1" applyFill="1" applyBorder="1" applyAlignment="1">
      <alignment horizontal="left" vertical="center" wrapText="1"/>
    </xf>
    <xf numFmtId="0" fontId="7" fillId="2" borderId="4" xfId="2" applyFont="1" applyFill="1" applyBorder="1" applyAlignment="1">
      <alignment horizontal="center" vertical="center"/>
    </xf>
    <xf numFmtId="0" fontId="6" fillId="2" borderId="4" xfId="2" applyFont="1" applyFill="1" applyBorder="1" applyAlignment="1">
      <alignment horizontal="left" vertical="center" wrapText="1"/>
    </xf>
    <xf numFmtId="0" fontId="7" fillId="2" borderId="5" xfId="2" applyFont="1" applyFill="1" applyBorder="1" applyAlignment="1">
      <alignment horizontal="center" vertical="center"/>
    </xf>
    <xf numFmtId="0" fontId="7" fillId="2" borderId="5" xfId="2" applyFont="1" applyFill="1" applyBorder="1" applyAlignment="1">
      <alignment horizontal="left" vertical="center" wrapText="1"/>
    </xf>
    <xf numFmtId="2" fontId="7" fillId="2" borderId="2" xfId="2" applyNumberFormat="1" applyFont="1" applyFill="1" applyBorder="1" applyAlignment="1">
      <alignment horizontal="left" vertical="center" wrapText="1"/>
    </xf>
    <xf numFmtId="2" fontId="7" fillId="2" borderId="3" xfId="2" applyNumberFormat="1" applyFont="1" applyFill="1" applyBorder="1" applyAlignment="1">
      <alignment horizontal="left" vertical="center" wrapText="1"/>
    </xf>
    <xf numFmtId="0" fontId="7" fillId="2" borderId="6" xfId="2" applyFont="1" applyFill="1" applyBorder="1" applyAlignment="1">
      <alignment horizontal="center" vertical="center"/>
    </xf>
    <xf numFmtId="2" fontId="7" fillId="2" borderId="6" xfId="2" applyNumberFormat="1" applyFont="1" applyFill="1" applyBorder="1" applyAlignment="1">
      <alignment horizontal="left" vertical="center" wrapText="1"/>
    </xf>
    <xf numFmtId="0" fontId="7" fillId="2" borderId="3" xfId="2" applyFont="1" applyFill="1" applyBorder="1" applyAlignment="1">
      <alignment horizontal="center" vertical="center" wrapText="1"/>
    </xf>
    <xf numFmtId="0" fontId="7" fillId="3" borderId="3" xfId="2" applyFont="1" applyFill="1" applyBorder="1" applyAlignment="1">
      <alignment horizontal="center" vertical="center"/>
    </xf>
    <xf numFmtId="2" fontId="7" fillId="3" borderId="2" xfId="2" applyNumberFormat="1" applyFont="1" applyFill="1" applyBorder="1" applyAlignment="1">
      <alignment horizontal="left" vertical="center" wrapText="1"/>
    </xf>
    <xf numFmtId="0" fontId="7" fillId="3" borderId="2" xfId="2" applyFont="1" applyFill="1" applyBorder="1" applyAlignment="1">
      <alignment horizontal="center" vertical="center" wrapText="1"/>
    </xf>
    <xf numFmtId="0" fontId="7" fillId="3" borderId="2" xfId="2" applyFont="1" applyFill="1" applyBorder="1" applyAlignment="1">
      <alignment horizontal="center" vertical="center"/>
    </xf>
    <xf numFmtId="0" fontId="9" fillId="3" borderId="0" xfId="0" applyFont="1" applyFill="1"/>
    <xf numFmtId="0" fontId="10" fillId="3" borderId="5" xfId="0" applyFont="1" applyFill="1" applyBorder="1" applyAlignment="1">
      <alignment horizontal="center"/>
    </xf>
    <xf numFmtId="0" fontId="8" fillId="2" borderId="4" xfId="2" applyFont="1" applyFill="1" applyBorder="1" applyAlignment="1">
      <alignment horizontal="center" vertical="center"/>
    </xf>
    <xf numFmtId="0" fontId="7" fillId="2" borderId="6" xfId="2" applyFont="1" applyFill="1" applyBorder="1" applyAlignment="1">
      <alignment horizontal="left" vertical="center" wrapText="1"/>
    </xf>
    <xf numFmtId="0" fontId="11" fillId="0" borderId="0" xfId="0" applyFont="1"/>
    <xf numFmtId="0" fontId="12" fillId="0" borderId="0" xfId="0" applyFont="1"/>
    <xf numFmtId="0" fontId="13" fillId="0" borderId="0" xfId="2" applyFont="1" applyAlignment="1">
      <alignment horizontal="left" vertical="center" wrapText="1"/>
    </xf>
    <xf numFmtId="0" fontId="14" fillId="0" borderId="0" xfId="3" applyFont="1"/>
    <xf numFmtId="0" fontId="9" fillId="0" borderId="0" xfId="3" applyFont="1"/>
    <xf numFmtId="0" fontId="15" fillId="0" borderId="0" xfId="3" applyFont="1"/>
    <xf numFmtId="0" fontId="16" fillId="2" borderId="7" xfId="3" applyFont="1" applyFill="1" applyBorder="1" applyAlignment="1">
      <alignment horizontal="center" vertical="center"/>
    </xf>
    <xf numFmtId="0" fontId="16" fillId="2" borderId="8" xfId="3" applyFont="1" applyFill="1" applyBorder="1" applyAlignment="1">
      <alignment horizontal="center" vertical="center"/>
    </xf>
    <xf numFmtId="3" fontId="17" fillId="2" borderId="8" xfId="3" applyNumberFormat="1" applyFont="1" applyFill="1" applyBorder="1" applyAlignment="1" applyProtection="1">
      <alignment horizontal="center" vertical="center"/>
      <protection locked="0"/>
    </xf>
    <xf numFmtId="0" fontId="17" fillId="2" borderId="9" xfId="3" applyFont="1" applyFill="1" applyBorder="1" applyAlignment="1">
      <alignment horizontal="center" vertical="center"/>
    </xf>
    <xf numFmtId="0" fontId="16" fillId="2" borderId="10" xfId="3" applyFont="1" applyFill="1" applyBorder="1" applyAlignment="1">
      <alignment horizontal="center" vertical="center" wrapText="1"/>
    </xf>
    <xf numFmtId="0" fontId="16" fillId="2" borderId="11" xfId="3" applyFont="1" applyFill="1" applyBorder="1" applyAlignment="1">
      <alignment horizontal="center" vertical="center" wrapText="1"/>
    </xf>
    <xf numFmtId="164" fontId="16" fillId="2" borderId="11" xfId="3" applyNumberFormat="1" applyFont="1" applyFill="1" applyBorder="1" applyAlignment="1">
      <alignment horizontal="center" vertical="center"/>
    </xf>
    <xf numFmtId="0" fontId="18" fillId="2" borderId="12" xfId="3" applyFont="1" applyFill="1" applyBorder="1"/>
    <xf numFmtId="4" fontId="16" fillId="2" borderId="11" xfId="3" applyNumberFormat="1" applyFont="1" applyFill="1" applyBorder="1" applyAlignment="1">
      <alignment horizontal="center" vertical="center"/>
    </xf>
    <xf numFmtId="0" fontId="18" fillId="2" borderId="12" xfId="3" applyFont="1" applyFill="1" applyBorder="1" applyAlignment="1">
      <alignment horizontal="center" vertical="center"/>
    </xf>
    <xf numFmtId="165" fontId="14" fillId="0" borderId="0" xfId="3" applyNumberFormat="1" applyFont="1" applyAlignment="1">
      <alignment vertical="center"/>
    </xf>
    <xf numFmtId="0" fontId="16" fillId="2" borderId="13" xfId="3" applyFont="1" applyFill="1" applyBorder="1" applyAlignment="1">
      <alignment horizontal="center" vertical="center" wrapText="1"/>
    </xf>
    <xf numFmtId="0" fontId="16" fillId="2" borderId="14" xfId="3" applyFont="1" applyFill="1" applyBorder="1" applyAlignment="1">
      <alignment vertical="center" wrapText="1"/>
    </xf>
    <xf numFmtId="4" fontId="16" fillId="2" borderId="14" xfId="3" applyNumberFormat="1" applyFont="1" applyFill="1" applyBorder="1" applyAlignment="1">
      <alignment horizontal="center" vertical="center"/>
    </xf>
    <xf numFmtId="0" fontId="18" fillId="2" borderId="15" xfId="3" applyFont="1" applyFill="1" applyBorder="1" applyAlignment="1">
      <alignment horizontal="center" vertical="center"/>
    </xf>
    <xf numFmtId="0" fontId="18" fillId="2" borderId="16" xfId="3" applyFont="1" applyFill="1" applyBorder="1" applyAlignment="1">
      <alignment horizontal="center" vertical="center" wrapText="1"/>
    </xf>
    <xf numFmtId="0" fontId="19" fillId="2" borderId="17" xfId="3" applyFont="1" applyFill="1" applyBorder="1" applyAlignment="1">
      <alignment horizontal="right" vertical="center" wrapText="1"/>
    </xf>
    <xf numFmtId="4" fontId="18" fillId="0" borderId="17" xfId="3" applyNumberFormat="1" applyFont="1" applyBorder="1" applyAlignment="1">
      <alignment horizontal="center" vertical="center"/>
    </xf>
    <xf numFmtId="0" fontId="18" fillId="2" borderId="18" xfId="3" applyFont="1" applyFill="1" applyBorder="1" applyAlignment="1">
      <alignment horizontal="center" vertical="center"/>
    </xf>
    <xf numFmtId="0" fontId="18" fillId="2" borderId="19" xfId="3" applyFont="1" applyFill="1" applyBorder="1" applyAlignment="1">
      <alignment horizontal="center" vertical="center" wrapText="1"/>
    </xf>
    <xf numFmtId="0" fontId="19" fillId="2" borderId="20" xfId="3" applyFont="1" applyFill="1" applyBorder="1" applyAlignment="1">
      <alignment horizontal="right" vertical="center" wrapText="1"/>
    </xf>
    <xf numFmtId="4" fontId="18" fillId="0" borderId="20" xfId="3" applyNumberFormat="1" applyFont="1" applyBorder="1" applyAlignment="1">
      <alignment horizontal="center" vertical="center"/>
    </xf>
    <xf numFmtId="0" fontId="18" fillId="2" borderId="21" xfId="3" applyFont="1" applyFill="1" applyBorder="1" applyAlignment="1">
      <alignment horizontal="center" vertical="center"/>
    </xf>
    <xf numFmtId="0" fontId="16" fillId="2" borderId="16" xfId="3" applyFont="1" applyFill="1" applyBorder="1" applyAlignment="1">
      <alignment horizontal="center" vertical="center" wrapText="1"/>
    </xf>
    <xf numFmtId="0" fontId="16" fillId="2" borderId="17" xfId="3" applyFont="1" applyFill="1" applyBorder="1" applyAlignment="1">
      <alignment vertical="center" wrapText="1"/>
    </xf>
    <xf numFmtId="4" fontId="16" fillId="2" borderId="17" xfId="3" applyNumberFormat="1" applyFont="1" applyFill="1" applyBorder="1" applyAlignment="1">
      <alignment horizontal="center" vertical="center"/>
    </xf>
    <xf numFmtId="4" fontId="18" fillId="2" borderId="14" xfId="3" applyNumberFormat="1" applyFont="1" applyFill="1" applyBorder="1" applyAlignment="1">
      <alignment horizontal="center" vertical="center"/>
    </xf>
    <xf numFmtId="0" fontId="16" fillId="2" borderId="14" xfId="3" applyFont="1" applyFill="1" applyBorder="1" applyAlignment="1">
      <alignment horizontal="center" vertical="center" wrapText="1"/>
    </xf>
    <xf numFmtId="4" fontId="3" fillId="4" borderId="17" xfId="3" applyNumberFormat="1" applyFont="1" applyFill="1" applyBorder="1" applyAlignment="1">
      <alignment horizontal="center" vertical="center"/>
    </xf>
    <xf numFmtId="0" fontId="18" fillId="2" borderId="22" xfId="3" applyFont="1" applyFill="1" applyBorder="1" applyAlignment="1">
      <alignment horizontal="center" vertical="center" wrapText="1"/>
    </xf>
    <xf numFmtId="0" fontId="19" fillId="2" borderId="23" xfId="3" applyFont="1" applyFill="1" applyBorder="1" applyAlignment="1">
      <alignment horizontal="right" vertical="center" wrapText="1"/>
    </xf>
    <xf numFmtId="4" fontId="18" fillId="0" borderId="23" xfId="3" applyNumberFormat="1" applyFont="1" applyBorder="1" applyAlignment="1">
      <alignment horizontal="center" vertical="center"/>
    </xf>
    <xf numFmtId="0" fontId="18" fillId="2" borderId="24" xfId="3" applyFont="1" applyFill="1" applyBorder="1" applyAlignment="1">
      <alignment horizontal="center" vertical="center"/>
    </xf>
    <xf numFmtId="0" fontId="16" fillId="2" borderId="7" xfId="3" applyFont="1" applyFill="1" applyBorder="1" applyAlignment="1">
      <alignment horizontal="center" vertical="center" wrapText="1"/>
    </xf>
    <xf numFmtId="0" fontId="16" fillId="2" borderId="8" xfId="3" applyFont="1" applyFill="1" applyBorder="1" applyAlignment="1">
      <alignment horizontal="center" vertical="center" wrapText="1"/>
    </xf>
    <xf numFmtId="4" fontId="16" fillId="2" borderId="8" xfId="3" applyNumberFormat="1" applyFont="1" applyFill="1" applyBorder="1" applyAlignment="1">
      <alignment horizontal="center" vertical="center"/>
    </xf>
    <xf numFmtId="0" fontId="18" fillId="2" borderId="9" xfId="3" applyFont="1" applyFill="1" applyBorder="1" applyAlignment="1">
      <alignment horizontal="center" vertical="center"/>
    </xf>
    <xf numFmtId="0" fontId="18" fillId="2" borderId="17" xfId="3" applyFont="1" applyFill="1" applyBorder="1" applyAlignment="1">
      <alignment vertical="center" wrapText="1"/>
    </xf>
    <xf numFmtId="4" fontId="18" fillId="2" borderId="17" xfId="3" applyNumberFormat="1" applyFont="1" applyFill="1" applyBorder="1" applyAlignment="1">
      <alignment horizontal="center" vertical="center"/>
    </xf>
    <xf numFmtId="4" fontId="3" fillId="2" borderId="17" xfId="3" applyNumberFormat="1" applyFont="1" applyFill="1" applyBorder="1" applyAlignment="1">
      <alignment horizontal="center" vertical="center"/>
    </xf>
    <xf numFmtId="0" fontId="21" fillId="0" borderId="0" xfId="3" applyFont="1"/>
    <xf numFmtId="0" fontId="19" fillId="2" borderId="16" xfId="3" applyFont="1" applyFill="1" applyBorder="1" applyAlignment="1">
      <alignment horizontal="center" vertical="center" wrapText="1"/>
    </xf>
    <xf numFmtId="0" fontId="19" fillId="2" borderId="17" xfId="3" applyFont="1" applyFill="1" applyBorder="1" applyAlignment="1">
      <alignment vertical="center" wrapText="1"/>
    </xf>
    <xf numFmtId="4" fontId="19" fillId="2" borderId="17" xfId="3" applyNumberFormat="1" applyFont="1" applyFill="1" applyBorder="1" applyAlignment="1">
      <alignment horizontal="center" vertical="center"/>
    </xf>
    <xf numFmtId="0" fontId="19" fillId="2" borderId="18" xfId="3" applyFont="1" applyFill="1" applyBorder="1" applyAlignment="1">
      <alignment horizontal="center" vertical="center"/>
    </xf>
    <xf numFmtId="0" fontId="22" fillId="0" borderId="0" xfId="3" applyFont="1"/>
    <xf numFmtId="0" fontId="23" fillId="0" borderId="0" xfId="3" applyFont="1"/>
    <xf numFmtId="0" fontId="18" fillId="2" borderId="20" xfId="3" applyFont="1" applyFill="1" applyBorder="1" applyAlignment="1">
      <alignment vertical="center" wrapText="1"/>
    </xf>
    <xf numFmtId="4" fontId="18" fillId="2" borderId="20" xfId="3" applyNumberFormat="1" applyFont="1" applyFill="1" applyBorder="1" applyAlignment="1">
      <alignment horizontal="center" vertical="center"/>
    </xf>
    <xf numFmtId="0" fontId="23" fillId="0" borderId="0" xfId="3" applyFont="1" applyAlignment="1">
      <alignment vertical="center"/>
    </xf>
    <xf numFmtId="0" fontId="16" fillId="2" borderId="25" xfId="3"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17" xfId="0" applyFont="1" applyFill="1" applyBorder="1" applyAlignment="1">
      <alignment wrapText="1"/>
    </xf>
    <xf numFmtId="4" fontId="11" fillId="0" borderId="17" xfId="0" applyNumberFormat="1" applyFont="1" applyBorder="1" applyAlignment="1">
      <alignment horizontal="center" vertical="center" wrapText="1"/>
    </xf>
    <xf numFmtId="0" fontId="11" fillId="2" borderId="18"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4" fontId="11" fillId="0" borderId="20" xfId="0" applyNumberFormat="1" applyFont="1" applyBorder="1" applyAlignment="1">
      <alignment horizontal="center" vertical="center" wrapText="1"/>
    </xf>
    <xf numFmtId="0" fontId="11" fillId="2" borderId="21"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31" xfId="0" applyFont="1" applyFill="1" applyBorder="1" applyAlignment="1">
      <alignment wrapText="1"/>
    </xf>
    <xf numFmtId="4" fontId="11" fillId="0" borderId="31" xfId="0" applyNumberFormat="1" applyFont="1" applyBorder="1" applyAlignment="1">
      <alignment horizontal="center" vertical="center" wrapText="1"/>
    </xf>
    <xf numFmtId="0" fontId="11" fillId="2" borderId="3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6" fillId="2" borderId="34" xfId="0" applyFont="1" applyFill="1" applyBorder="1" applyAlignment="1">
      <alignment horizontal="center" wrapText="1"/>
    </xf>
    <xf numFmtId="4" fontId="11" fillId="0" borderId="34" xfId="0" applyNumberFormat="1" applyFont="1" applyBorder="1" applyAlignment="1">
      <alignment horizontal="center" vertical="center" wrapText="1"/>
    </xf>
    <xf numFmtId="0" fontId="11" fillId="2" borderId="35" xfId="0" applyFont="1" applyFill="1" applyBorder="1" applyAlignment="1">
      <alignment horizontal="center" vertical="center" wrapText="1"/>
    </xf>
    <xf numFmtId="0" fontId="24" fillId="2" borderId="7" xfId="3" applyFont="1" applyFill="1" applyBorder="1" applyAlignment="1">
      <alignment horizontal="center" vertical="center" wrapText="1"/>
    </xf>
    <xf numFmtId="0" fontId="24" fillId="2" borderId="34" xfId="3" applyFont="1" applyFill="1" applyBorder="1" applyAlignment="1">
      <alignment horizontal="center" vertical="center" wrapText="1"/>
    </xf>
    <xf numFmtId="0" fontId="25" fillId="0" borderId="0" xfId="3" applyFont="1"/>
    <xf numFmtId="0" fontId="24" fillId="2" borderId="36" xfId="3" applyFont="1" applyFill="1" applyBorder="1" applyAlignment="1">
      <alignment horizontal="center" vertical="center" wrapText="1"/>
    </xf>
    <xf numFmtId="0" fontId="24" fillId="2" borderId="37" xfId="3" applyFont="1" applyFill="1" applyBorder="1" applyAlignment="1">
      <alignment horizontal="center" vertical="center" wrapText="1"/>
    </xf>
    <xf numFmtId="4" fontId="26" fillId="2" borderId="37" xfId="3" applyNumberFormat="1" applyFont="1" applyFill="1" applyBorder="1" applyAlignment="1">
      <alignment horizontal="center" vertical="center"/>
    </xf>
    <xf numFmtId="0" fontId="27" fillId="2" borderId="28" xfId="3" applyFont="1" applyFill="1" applyBorder="1" applyAlignment="1">
      <alignment horizontal="center" vertical="center"/>
    </xf>
    <xf numFmtId="0" fontId="28" fillId="0" borderId="0" xfId="3" applyFont="1"/>
    <xf numFmtId="0" fontId="29" fillId="2" borderId="16" xfId="3" applyFont="1" applyFill="1" applyBorder="1" applyAlignment="1">
      <alignment horizontal="center" vertical="center" wrapText="1"/>
    </xf>
    <xf numFmtId="0" fontId="29" fillId="2" borderId="17" xfId="3" applyFont="1" applyFill="1" applyBorder="1" applyAlignment="1">
      <alignment vertical="center" wrapText="1"/>
    </xf>
    <xf numFmtId="0" fontId="29" fillId="2" borderId="19" xfId="3" applyFont="1" applyFill="1" applyBorder="1" applyAlignment="1">
      <alignment horizontal="center" vertical="center" wrapText="1"/>
    </xf>
    <xf numFmtId="0" fontId="24" fillId="2" borderId="13" xfId="3" applyFont="1" applyFill="1" applyBorder="1" applyAlignment="1">
      <alignment horizontal="center" vertical="center" wrapText="1"/>
    </xf>
    <xf numFmtId="0" fontId="24" fillId="2" borderId="14" xfId="3" applyFont="1" applyFill="1" applyBorder="1" applyAlignment="1">
      <alignment horizontal="center" vertical="center" wrapText="1"/>
    </xf>
    <xf numFmtId="0" fontId="29" fillId="2" borderId="20" xfId="3" applyFont="1" applyFill="1" applyBorder="1" applyAlignment="1">
      <alignment vertical="center" wrapText="1"/>
    </xf>
    <xf numFmtId="0" fontId="24" fillId="2" borderId="19" xfId="3" applyFont="1" applyFill="1" applyBorder="1" applyAlignment="1">
      <alignment horizontal="center" vertical="center" wrapText="1"/>
    </xf>
    <xf numFmtId="0" fontId="24" fillId="2" borderId="20" xfId="3" applyFont="1" applyFill="1" applyBorder="1" applyAlignment="1">
      <alignment horizontal="center" vertical="center" wrapText="1"/>
    </xf>
    <xf numFmtId="4" fontId="16" fillId="0" borderId="20" xfId="3" applyNumberFormat="1" applyFont="1" applyBorder="1" applyAlignment="1">
      <alignment horizontal="center" vertical="center"/>
    </xf>
    <xf numFmtId="0" fontId="24" fillId="2" borderId="8" xfId="3" applyFont="1" applyFill="1" applyBorder="1" applyAlignment="1">
      <alignment horizontal="center" vertical="center" wrapText="1"/>
    </xf>
    <xf numFmtId="4" fontId="16" fillId="0" borderId="8" xfId="3" applyNumberFormat="1" applyFont="1" applyBorder="1" applyAlignment="1">
      <alignment horizontal="center" vertical="center"/>
    </xf>
    <xf numFmtId="4" fontId="16" fillId="2" borderId="37" xfId="3" applyNumberFormat="1" applyFont="1" applyFill="1" applyBorder="1" applyAlignment="1">
      <alignment horizontal="center" vertical="center"/>
    </xf>
    <xf numFmtId="0" fontId="18" fillId="2" borderId="28" xfId="3" applyFont="1" applyFill="1" applyBorder="1" applyAlignment="1">
      <alignment horizontal="center" vertical="center"/>
    </xf>
    <xf numFmtId="0" fontId="29" fillId="2" borderId="38" xfId="3" applyFont="1" applyFill="1" applyBorder="1" applyAlignment="1">
      <alignment horizontal="center" vertical="center" wrapText="1"/>
    </xf>
    <xf numFmtId="0" fontId="29" fillId="2" borderId="31" xfId="3" applyFont="1" applyFill="1" applyBorder="1" applyAlignment="1">
      <alignment vertical="center" wrapText="1"/>
    </xf>
    <xf numFmtId="4" fontId="18" fillId="2" borderId="31" xfId="3" applyNumberFormat="1" applyFont="1" applyFill="1" applyBorder="1" applyAlignment="1">
      <alignment horizontal="center" vertical="center"/>
    </xf>
    <xf numFmtId="0" fontId="18" fillId="2" borderId="32" xfId="3" applyFont="1" applyFill="1" applyBorder="1" applyAlignment="1">
      <alignment horizontal="center" vertical="center"/>
    </xf>
    <xf numFmtId="0" fontId="30" fillId="0" borderId="0" xfId="0" applyFont="1"/>
    <xf numFmtId="0" fontId="2" fillId="0" borderId="0" xfId="0" applyFont="1"/>
    <xf numFmtId="4" fontId="0" fillId="0" borderId="0" xfId="0" applyNumberFormat="1"/>
    <xf numFmtId="0" fontId="31" fillId="0" borderId="0" xfId="3" applyFont="1"/>
    <xf numFmtId="0" fontId="4" fillId="0" borderId="0" xfId="0" applyFont="1" applyAlignment="1" applyProtection="1">
      <alignment vertical="center"/>
      <protection hidden="1"/>
    </xf>
    <xf numFmtId="4" fontId="32" fillId="2" borderId="1" xfId="0" applyNumberFormat="1" applyFont="1" applyFill="1" applyBorder="1" applyAlignment="1" applyProtection="1">
      <alignment horizontal="center" vertical="center"/>
      <protection hidden="1"/>
    </xf>
    <xf numFmtId="4" fontId="32" fillId="2" borderId="39" xfId="0" applyNumberFormat="1" applyFont="1" applyFill="1" applyBorder="1" applyAlignment="1" applyProtection="1">
      <alignment horizontal="center" vertical="center" wrapText="1"/>
      <protection hidden="1"/>
    </xf>
    <xf numFmtId="4" fontId="17" fillId="2" borderId="1" xfId="0" applyNumberFormat="1" applyFont="1" applyFill="1" applyBorder="1" applyAlignment="1" applyProtection="1">
      <alignment horizontal="center" vertical="center" wrapText="1"/>
      <protection hidden="1"/>
    </xf>
    <xf numFmtId="4" fontId="17" fillId="2" borderId="40" xfId="0" applyNumberFormat="1" applyFont="1" applyFill="1" applyBorder="1" applyAlignment="1" applyProtection="1">
      <alignment horizontal="center" vertical="center" wrapText="1"/>
      <protection hidden="1"/>
    </xf>
    <xf numFmtId="4" fontId="22" fillId="2" borderId="7" xfId="0" applyNumberFormat="1" applyFont="1" applyFill="1" applyBorder="1" applyAlignment="1" applyProtection="1">
      <alignment horizontal="center" vertical="center" wrapText="1"/>
      <protection hidden="1"/>
    </xf>
    <xf numFmtId="4" fontId="22" fillId="2" borderId="8" xfId="0" applyNumberFormat="1" applyFont="1" applyFill="1" applyBorder="1" applyAlignment="1" applyProtection="1">
      <alignment horizontal="center" vertical="center" wrapText="1"/>
      <protection hidden="1"/>
    </xf>
    <xf numFmtId="4" fontId="22" fillId="2" borderId="9" xfId="0" applyNumberFormat="1" applyFont="1" applyFill="1" applyBorder="1" applyAlignment="1" applyProtection="1">
      <alignment horizontal="center" vertical="center" wrapText="1"/>
      <protection hidden="1"/>
    </xf>
    <xf numFmtId="4" fontId="22" fillId="2" borderId="41" xfId="0" applyNumberFormat="1" applyFont="1" applyFill="1" applyBorder="1" applyAlignment="1" applyProtection="1">
      <alignment horizontal="center" vertical="center" wrapText="1"/>
      <protection hidden="1"/>
    </xf>
    <xf numFmtId="4" fontId="17" fillId="2" borderId="42" xfId="0" applyNumberFormat="1" applyFont="1" applyFill="1" applyBorder="1" applyAlignment="1" applyProtection="1">
      <alignment horizontal="center" vertical="center" wrapText="1"/>
      <protection hidden="1"/>
    </xf>
    <xf numFmtId="4" fontId="22" fillId="2" borderId="42" xfId="0" applyNumberFormat="1" applyFont="1" applyFill="1" applyBorder="1" applyAlignment="1" applyProtection="1">
      <alignment horizontal="center" vertical="center" wrapText="1"/>
      <protection hidden="1"/>
    </xf>
    <xf numFmtId="4" fontId="32" fillId="2" borderId="43" xfId="0" applyNumberFormat="1" applyFont="1" applyFill="1" applyBorder="1" applyAlignment="1">
      <alignment horizontal="center" vertical="center"/>
    </xf>
    <xf numFmtId="4" fontId="32" fillId="2" borderId="44" xfId="0" applyNumberFormat="1" applyFont="1" applyFill="1" applyBorder="1" applyAlignment="1" applyProtection="1">
      <alignment horizontal="center" vertical="center" wrapText="1"/>
      <protection hidden="1"/>
    </xf>
    <xf numFmtId="4" fontId="33" fillId="2" borderId="43" xfId="0" applyNumberFormat="1" applyFont="1" applyFill="1" applyBorder="1" applyAlignment="1" applyProtection="1">
      <alignment horizontal="center" vertical="center"/>
      <protection hidden="1"/>
    </xf>
    <xf numFmtId="4" fontId="33" fillId="2" borderId="45" xfId="0" applyNumberFormat="1" applyFont="1" applyFill="1" applyBorder="1" applyAlignment="1" applyProtection="1">
      <alignment horizontal="center" vertical="center"/>
      <protection hidden="1"/>
    </xf>
    <xf numFmtId="4" fontId="33" fillId="2" borderId="46" xfId="0" applyNumberFormat="1" applyFont="1" applyFill="1" applyBorder="1" applyAlignment="1" applyProtection="1">
      <alignment horizontal="center" vertical="center"/>
      <protection hidden="1"/>
    </xf>
    <xf numFmtId="4" fontId="33" fillId="2" borderId="47" xfId="0" applyNumberFormat="1" applyFont="1" applyFill="1" applyBorder="1" applyAlignment="1" applyProtection="1">
      <alignment horizontal="center" vertical="center"/>
      <protection hidden="1"/>
    </xf>
    <xf numFmtId="4" fontId="33" fillId="2" borderId="48" xfId="0" applyNumberFormat="1" applyFont="1" applyFill="1" applyBorder="1" applyAlignment="1" applyProtection="1">
      <alignment horizontal="center" vertical="center"/>
      <protection hidden="1"/>
    </xf>
    <xf numFmtId="4" fontId="33" fillId="2" borderId="44" xfId="0" applyNumberFormat="1" applyFont="1" applyFill="1" applyBorder="1" applyAlignment="1" applyProtection="1">
      <alignment horizontal="center" vertical="center"/>
      <protection hidden="1"/>
    </xf>
    <xf numFmtId="4" fontId="33" fillId="2" borderId="49" xfId="0" applyNumberFormat="1" applyFont="1" applyFill="1" applyBorder="1" applyAlignment="1" applyProtection="1">
      <alignment horizontal="center" vertical="center"/>
      <protection hidden="1"/>
    </xf>
    <xf numFmtId="4" fontId="32" fillId="2" borderId="5" xfId="0" applyNumberFormat="1" applyFont="1" applyFill="1" applyBorder="1" applyAlignment="1">
      <alignment horizontal="center" vertical="center"/>
    </xf>
    <xf numFmtId="4" fontId="32" fillId="2" borderId="50" xfId="0" applyNumberFormat="1" applyFont="1" applyFill="1" applyBorder="1" applyAlignment="1">
      <alignment horizontal="left" vertical="center" wrapText="1"/>
    </xf>
    <xf numFmtId="4" fontId="32" fillId="2" borderId="5" xfId="0" applyNumberFormat="1" applyFont="1" applyFill="1" applyBorder="1" applyAlignment="1">
      <alignment horizontal="center" vertical="center" wrapText="1"/>
    </xf>
    <xf numFmtId="4" fontId="32" fillId="2" borderId="51" xfId="0" applyNumberFormat="1" applyFont="1" applyFill="1" applyBorder="1" applyAlignment="1">
      <alignment horizontal="center" vertical="center" wrapText="1"/>
    </xf>
    <xf numFmtId="4" fontId="32" fillId="2" borderId="36" xfId="0" applyNumberFormat="1" applyFont="1" applyFill="1" applyBorder="1" applyAlignment="1">
      <alignment horizontal="center" vertical="center" wrapText="1"/>
    </xf>
    <xf numFmtId="4" fontId="32" fillId="2" borderId="37" xfId="0" applyNumberFormat="1" applyFont="1" applyFill="1" applyBorder="1" applyAlignment="1">
      <alignment horizontal="center" vertical="center" wrapText="1"/>
    </xf>
    <xf numFmtId="4" fontId="32" fillId="2" borderId="28" xfId="0" applyNumberFormat="1" applyFont="1" applyFill="1" applyBorder="1" applyAlignment="1">
      <alignment horizontal="center" vertical="center" wrapText="1"/>
    </xf>
    <xf numFmtId="4" fontId="32" fillId="2" borderId="26" xfId="0" applyNumberFormat="1" applyFont="1" applyFill="1" applyBorder="1" applyAlignment="1">
      <alignment horizontal="center" vertical="center" wrapText="1"/>
    </xf>
    <xf numFmtId="4" fontId="32" fillId="2" borderId="52" xfId="0" applyNumberFormat="1" applyFont="1" applyFill="1" applyBorder="1" applyAlignment="1">
      <alignment horizontal="center" vertical="center" wrapText="1"/>
    </xf>
    <xf numFmtId="4" fontId="32" fillId="2" borderId="4" xfId="0" applyNumberFormat="1" applyFont="1" applyFill="1" applyBorder="1" applyAlignment="1">
      <alignment horizontal="center" vertical="center"/>
    </xf>
    <xf numFmtId="4" fontId="32" fillId="2" borderId="25" xfId="0" applyNumberFormat="1" applyFont="1" applyFill="1" applyBorder="1" applyAlignment="1">
      <alignment horizontal="left" vertical="center" wrapText="1"/>
    </xf>
    <xf numFmtId="4" fontId="32" fillId="2" borderId="4" xfId="0" applyNumberFormat="1" applyFont="1" applyFill="1" applyBorder="1" applyAlignment="1">
      <alignment horizontal="center" vertical="center" wrapText="1"/>
    </xf>
    <xf numFmtId="4" fontId="32" fillId="2" borderId="53" xfId="0" applyNumberFormat="1" applyFont="1" applyFill="1" applyBorder="1" applyAlignment="1">
      <alignment horizontal="center" vertical="center" wrapText="1"/>
    </xf>
    <xf numFmtId="4" fontId="32" fillId="2" borderId="13" xfId="0" applyNumberFormat="1" applyFont="1" applyFill="1" applyBorder="1" applyAlignment="1">
      <alignment horizontal="center" vertical="center" wrapText="1"/>
    </xf>
    <xf numFmtId="4" fontId="32" fillId="2" borderId="14" xfId="0" applyNumberFormat="1" applyFont="1" applyFill="1" applyBorder="1" applyAlignment="1">
      <alignment horizontal="center" vertical="center" wrapText="1"/>
    </xf>
    <xf numFmtId="4" fontId="32" fillId="2" borderId="15" xfId="0" applyNumberFormat="1" applyFont="1" applyFill="1" applyBorder="1" applyAlignment="1">
      <alignment horizontal="center" vertical="center" wrapText="1"/>
    </xf>
    <xf numFmtId="4" fontId="32" fillId="2" borderId="54" xfId="0" applyNumberFormat="1" applyFont="1" applyFill="1" applyBorder="1" applyAlignment="1">
      <alignment horizontal="center" vertical="center" wrapText="1"/>
    </xf>
    <xf numFmtId="4" fontId="32" fillId="2" borderId="55" xfId="0" applyNumberFormat="1" applyFont="1" applyFill="1" applyBorder="1" applyAlignment="1">
      <alignment horizontal="center" vertical="center" wrapText="1"/>
    </xf>
    <xf numFmtId="0" fontId="34" fillId="0" borderId="0" xfId="0" applyFont="1"/>
    <xf numFmtId="4" fontId="33" fillId="2" borderId="5" xfId="0" applyNumberFormat="1" applyFont="1" applyFill="1" applyBorder="1" applyAlignment="1">
      <alignment horizontal="right" vertical="center"/>
    </xf>
    <xf numFmtId="4" fontId="33" fillId="2" borderId="50" xfId="0" applyNumberFormat="1" applyFont="1" applyFill="1" applyBorder="1" applyAlignment="1">
      <alignment horizontal="right" vertical="center" wrapText="1"/>
    </xf>
    <xf numFmtId="4" fontId="33" fillId="2" borderId="5" xfId="0" applyNumberFormat="1" applyFont="1" applyFill="1" applyBorder="1" applyAlignment="1">
      <alignment horizontal="center" vertical="center" wrapText="1"/>
    </xf>
    <xf numFmtId="4" fontId="33" fillId="2" borderId="51" xfId="0" applyNumberFormat="1" applyFont="1" applyFill="1" applyBorder="1" applyAlignment="1">
      <alignment horizontal="center" vertical="center" wrapText="1"/>
    </xf>
    <xf numFmtId="4" fontId="33" fillId="2" borderId="36" xfId="0" applyNumberFormat="1" applyFont="1" applyFill="1" applyBorder="1" applyAlignment="1">
      <alignment horizontal="center" vertical="center" wrapText="1"/>
    </xf>
    <xf numFmtId="4" fontId="33" fillId="2" borderId="37" xfId="0" applyNumberFormat="1" applyFont="1" applyFill="1" applyBorder="1" applyAlignment="1">
      <alignment horizontal="center" vertical="center" wrapText="1"/>
    </xf>
    <xf numFmtId="4" fontId="33" fillId="2" borderId="28" xfId="0" applyNumberFormat="1" applyFont="1" applyFill="1" applyBorder="1" applyAlignment="1">
      <alignment horizontal="center" vertical="center" wrapText="1"/>
    </xf>
    <xf numFmtId="4" fontId="33" fillId="2" borderId="26" xfId="0" applyNumberFormat="1" applyFont="1" applyFill="1" applyBorder="1" applyAlignment="1">
      <alignment horizontal="center" vertical="center" wrapText="1"/>
    </xf>
    <xf numFmtId="4" fontId="33" fillId="2" borderId="52" xfId="0" applyNumberFormat="1" applyFont="1" applyFill="1" applyBorder="1" applyAlignment="1">
      <alignment horizontal="center" vertical="center" wrapText="1"/>
    </xf>
    <xf numFmtId="4" fontId="33" fillId="2" borderId="5" xfId="0" applyNumberFormat="1" applyFont="1" applyFill="1" applyBorder="1" applyAlignment="1">
      <alignment horizontal="center" vertical="center"/>
    </xf>
    <xf numFmtId="4" fontId="33" fillId="2" borderId="56" xfId="0" applyNumberFormat="1" applyFont="1" applyFill="1" applyBorder="1" applyAlignment="1">
      <alignment horizontal="right" vertical="center" wrapText="1"/>
    </xf>
    <xf numFmtId="4" fontId="33" fillId="2" borderId="2" xfId="0" applyNumberFormat="1" applyFont="1" applyFill="1" applyBorder="1" applyAlignment="1">
      <alignment horizontal="center" vertical="center" wrapText="1"/>
    </xf>
    <xf numFmtId="4" fontId="33" fillId="2" borderId="57" xfId="0" applyNumberFormat="1" applyFont="1" applyFill="1" applyBorder="1" applyAlignment="1">
      <alignment horizontal="center" vertical="center" wrapText="1"/>
    </xf>
    <xf numFmtId="4" fontId="33" fillId="2" borderId="16" xfId="0" applyNumberFormat="1" applyFont="1" applyFill="1" applyBorder="1" applyAlignment="1">
      <alignment horizontal="center" vertical="center" wrapText="1"/>
    </xf>
    <xf numFmtId="4" fontId="33" fillId="2" borderId="17" xfId="0" applyNumberFormat="1" applyFont="1" applyFill="1" applyBorder="1" applyAlignment="1">
      <alignment horizontal="center" vertical="center" wrapText="1"/>
    </xf>
    <xf numFmtId="4" fontId="33" fillId="2" borderId="18" xfId="0" applyNumberFormat="1" applyFont="1" applyFill="1" applyBorder="1" applyAlignment="1">
      <alignment horizontal="center" vertical="center" wrapText="1"/>
    </xf>
    <xf numFmtId="4" fontId="33" fillId="2" borderId="27" xfId="0" applyNumberFormat="1" applyFont="1" applyFill="1" applyBorder="1" applyAlignment="1">
      <alignment horizontal="center" vertical="center" wrapText="1"/>
    </xf>
    <xf numFmtId="4" fontId="33" fillId="2" borderId="58" xfId="0" applyNumberFormat="1" applyFont="1" applyFill="1" applyBorder="1" applyAlignment="1">
      <alignment horizontal="center" vertical="center" wrapText="1"/>
    </xf>
    <xf numFmtId="4" fontId="22" fillId="2" borderId="5" xfId="0" applyNumberFormat="1" applyFont="1" applyFill="1" applyBorder="1" applyAlignment="1">
      <alignment horizontal="center" vertical="center"/>
    </xf>
    <xf numFmtId="4" fontId="22" fillId="2" borderId="56" xfId="0" applyNumberFormat="1" applyFont="1" applyFill="1" applyBorder="1" applyAlignment="1">
      <alignment horizontal="right" vertical="center" wrapText="1"/>
    </xf>
    <xf numFmtId="4" fontId="22" fillId="2" borderId="2" xfId="0" applyNumberFormat="1" applyFont="1" applyFill="1" applyBorder="1" applyAlignment="1">
      <alignment horizontal="center" vertical="center" wrapText="1"/>
    </xf>
    <xf numFmtId="4" fontId="22" fillId="2" borderId="57" xfId="0" applyNumberFormat="1" applyFont="1" applyFill="1" applyBorder="1" applyAlignment="1">
      <alignment horizontal="center" vertical="center" wrapText="1"/>
    </xf>
    <xf numFmtId="4" fontId="22" fillId="2" borderId="16" xfId="0" applyNumberFormat="1" applyFont="1" applyFill="1" applyBorder="1" applyAlignment="1">
      <alignment horizontal="center" vertical="center" wrapText="1"/>
    </xf>
    <xf numFmtId="4" fontId="22" fillId="2" borderId="17" xfId="0" applyNumberFormat="1" applyFont="1" applyFill="1" applyBorder="1" applyAlignment="1">
      <alignment horizontal="center" vertical="center" wrapText="1"/>
    </xf>
    <xf numFmtId="4" fontId="22" fillId="2" borderId="18" xfId="0" applyNumberFormat="1" applyFont="1" applyFill="1" applyBorder="1" applyAlignment="1">
      <alignment horizontal="center" vertical="center" wrapText="1"/>
    </xf>
    <xf numFmtId="4" fontId="22" fillId="2" borderId="27" xfId="0" applyNumberFormat="1" applyFont="1" applyFill="1" applyBorder="1" applyAlignment="1">
      <alignment horizontal="center" vertical="center" wrapText="1"/>
    </xf>
    <xf numFmtId="4" fontId="22" fillId="2" borderId="58" xfId="0" applyNumberFormat="1" applyFont="1" applyFill="1" applyBorder="1" applyAlignment="1">
      <alignment horizontal="center" vertical="center" wrapText="1"/>
    </xf>
    <xf numFmtId="4" fontId="33" fillId="2" borderId="59" xfId="0" applyNumberFormat="1" applyFont="1" applyFill="1" applyBorder="1" applyAlignment="1">
      <alignment horizontal="center" vertical="center"/>
    </xf>
    <xf numFmtId="4" fontId="33" fillId="2" borderId="60" xfId="0" applyNumberFormat="1" applyFont="1" applyFill="1" applyBorder="1" applyAlignment="1">
      <alignment horizontal="right" vertical="center" wrapText="1"/>
    </xf>
    <xf numFmtId="4" fontId="33" fillId="2" borderId="3" xfId="0" applyNumberFormat="1" applyFont="1" applyFill="1" applyBorder="1" applyAlignment="1">
      <alignment horizontal="center" vertical="center" wrapText="1"/>
    </xf>
    <xf numFmtId="4" fontId="33" fillId="2" borderId="61" xfId="0" applyNumberFormat="1" applyFont="1" applyFill="1" applyBorder="1" applyAlignment="1">
      <alignment horizontal="center" vertical="center" wrapText="1"/>
    </xf>
    <xf numFmtId="4" fontId="33" fillId="2" borderId="19" xfId="0" applyNumberFormat="1" applyFont="1" applyFill="1" applyBorder="1" applyAlignment="1">
      <alignment horizontal="center" vertical="center" wrapText="1"/>
    </xf>
    <xf numFmtId="4" fontId="33" fillId="2" borderId="20" xfId="0" applyNumberFormat="1" applyFont="1" applyFill="1" applyBorder="1" applyAlignment="1">
      <alignment horizontal="center" vertical="center" wrapText="1"/>
    </xf>
    <xf numFmtId="4" fontId="33" fillId="2" borderId="21" xfId="0" applyNumberFormat="1" applyFont="1" applyFill="1" applyBorder="1" applyAlignment="1">
      <alignment horizontal="center" vertical="center" wrapText="1"/>
    </xf>
    <xf numFmtId="4" fontId="33" fillId="2" borderId="29" xfId="0" applyNumberFormat="1" applyFont="1" applyFill="1" applyBorder="1" applyAlignment="1">
      <alignment horizontal="center" vertical="center" wrapText="1"/>
    </xf>
    <xf numFmtId="4" fontId="33" fillId="2" borderId="62" xfId="0" applyNumberFormat="1" applyFont="1" applyFill="1" applyBorder="1" applyAlignment="1">
      <alignment horizontal="center" vertical="center" wrapText="1"/>
    </xf>
    <xf numFmtId="4" fontId="32" fillId="2" borderId="25" xfId="0" applyNumberFormat="1" applyFont="1" applyFill="1" applyBorder="1" applyAlignment="1">
      <alignment wrapText="1"/>
    </xf>
    <xf numFmtId="4" fontId="33" fillId="2" borderId="56" xfId="0" applyNumberFormat="1" applyFont="1" applyFill="1" applyBorder="1" applyAlignment="1">
      <alignment horizontal="right" wrapText="1"/>
    </xf>
    <xf numFmtId="4" fontId="2" fillId="0" borderId="0" xfId="0" applyNumberFormat="1" applyFont="1"/>
    <xf numFmtId="4" fontId="32" fillId="2" borderId="63" xfId="0" applyNumberFormat="1" applyFont="1" applyFill="1" applyBorder="1" applyAlignment="1" applyProtection="1">
      <alignment horizontal="center" vertical="center" wrapText="1"/>
      <protection hidden="1"/>
    </xf>
    <xf numFmtId="4" fontId="32" fillId="2" borderId="64" xfId="0" applyNumberFormat="1" applyFont="1" applyFill="1" applyBorder="1" applyAlignment="1">
      <alignment horizontal="left" vertical="center" wrapText="1"/>
    </xf>
    <xf numFmtId="165" fontId="32" fillId="2" borderId="63" xfId="0" applyNumberFormat="1" applyFont="1" applyFill="1" applyBorder="1" applyAlignment="1">
      <alignment horizontal="center" vertical="center" wrapText="1"/>
    </xf>
    <xf numFmtId="165" fontId="32" fillId="2" borderId="65" xfId="0" applyNumberFormat="1" applyFont="1" applyFill="1" applyBorder="1" applyAlignment="1">
      <alignment horizontal="center" vertical="center" wrapText="1"/>
    </xf>
    <xf numFmtId="165" fontId="32" fillId="2" borderId="66" xfId="0" applyNumberFormat="1" applyFont="1" applyFill="1" applyBorder="1" applyAlignment="1">
      <alignment horizontal="center" vertical="center" wrapText="1"/>
    </xf>
    <xf numFmtId="165" fontId="32" fillId="2" borderId="67" xfId="0" applyNumberFormat="1" applyFont="1" applyFill="1" applyBorder="1" applyAlignment="1">
      <alignment horizontal="center" vertical="center" wrapText="1"/>
    </xf>
    <xf numFmtId="165" fontId="32" fillId="2" borderId="41" xfId="0" applyNumberFormat="1" applyFont="1" applyFill="1" applyBorder="1" applyAlignment="1">
      <alignment horizontal="center" vertical="center" wrapText="1"/>
    </xf>
    <xf numFmtId="165" fontId="32" fillId="2" borderId="64" xfId="0" applyNumberFormat="1" applyFont="1" applyFill="1" applyBorder="1" applyAlignment="1">
      <alignment horizontal="center" vertical="center" wrapText="1"/>
    </xf>
    <xf numFmtId="165" fontId="32" fillId="2" borderId="68" xfId="0" applyNumberFormat="1" applyFont="1" applyFill="1" applyBorder="1" applyAlignment="1">
      <alignment horizontal="center" vertical="center" wrapText="1"/>
    </xf>
    <xf numFmtId="165" fontId="35" fillId="2" borderId="63" xfId="0" applyNumberFormat="1" applyFont="1" applyFill="1" applyBorder="1" applyAlignment="1">
      <alignment horizontal="center" vertical="center" wrapText="1"/>
    </xf>
    <xf numFmtId="4" fontId="32" fillId="2" borderId="69" xfId="0" applyNumberFormat="1" applyFont="1" applyFill="1" applyBorder="1" applyAlignment="1" applyProtection="1">
      <alignment horizontal="center" vertical="center" wrapText="1"/>
      <protection hidden="1"/>
    </xf>
    <xf numFmtId="4" fontId="32" fillId="2" borderId="69" xfId="0" applyNumberFormat="1" applyFont="1" applyFill="1" applyBorder="1" applyAlignment="1">
      <alignment horizontal="center" vertical="center" wrapText="1"/>
    </xf>
    <xf numFmtId="4" fontId="32" fillId="2" borderId="70" xfId="0" applyNumberFormat="1" applyFont="1" applyFill="1" applyBorder="1" applyAlignment="1">
      <alignment horizontal="center" vertical="center" wrapText="1"/>
    </xf>
    <xf numFmtId="4" fontId="32" fillId="2" borderId="71" xfId="0" applyNumberFormat="1" applyFont="1" applyFill="1" applyBorder="1" applyAlignment="1">
      <alignment horizontal="center" vertical="center" wrapText="1"/>
    </xf>
    <xf numFmtId="4" fontId="32" fillId="2" borderId="72" xfId="0" applyNumberFormat="1" applyFont="1" applyFill="1" applyBorder="1" applyAlignment="1">
      <alignment horizontal="center" vertical="center" wrapText="1"/>
    </xf>
    <xf numFmtId="4" fontId="32" fillId="2" borderId="73" xfId="0" applyNumberFormat="1" applyFont="1" applyFill="1" applyBorder="1" applyAlignment="1">
      <alignment horizontal="center" vertical="center" wrapText="1"/>
    </xf>
    <xf numFmtId="4" fontId="32" fillId="2" borderId="74" xfId="0" applyNumberFormat="1" applyFont="1" applyFill="1" applyBorder="1" applyAlignment="1">
      <alignment horizontal="center" vertical="center" wrapText="1"/>
    </xf>
    <xf numFmtId="4" fontId="32" fillId="2" borderId="75" xfId="0" applyNumberFormat="1" applyFont="1" applyFill="1" applyBorder="1" applyAlignment="1">
      <alignment horizontal="center" vertical="center" wrapText="1"/>
    </xf>
    <xf numFmtId="4" fontId="35" fillId="2" borderId="69" xfId="0" applyNumberFormat="1" applyFont="1" applyFill="1" applyBorder="1" applyAlignment="1">
      <alignment horizontal="center" vertical="center" wrapText="1"/>
    </xf>
    <xf numFmtId="4" fontId="35" fillId="2" borderId="4" xfId="0" applyNumberFormat="1" applyFont="1" applyFill="1" applyBorder="1" applyAlignment="1" applyProtection="1">
      <alignment horizontal="center" vertical="center" wrapText="1"/>
      <protection hidden="1"/>
    </xf>
    <xf numFmtId="4" fontId="32" fillId="2" borderId="54" xfId="0" applyNumberFormat="1" applyFont="1" applyFill="1" applyBorder="1" applyAlignment="1">
      <alignment horizontal="left" vertical="center" wrapText="1"/>
    </xf>
    <xf numFmtId="4" fontId="35" fillId="2" borderId="4" xfId="0" applyNumberFormat="1" applyFont="1" applyFill="1" applyBorder="1" applyAlignment="1">
      <alignment horizontal="center" vertical="center" wrapText="1"/>
    </xf>
    <xf numFmtId="4" fontId="11" fillId="2" borderId="2" xfId="0" applyNumberFormat="1" applyFont="1" applyFill="1" applyBorder="1" applyAlignment="1" applyProtection="1">
      <alignment horizontal="center" vertical="center" wrapText="1"/>
      <protection hidden="1"/>
    </xf>
    <xf numFmtId="4" fontId="11" fillId="2" borderId="27" xfId="0" applyNumberFormat="1" applyFont="1" applyFill="1" applyBorder="1" applyAlignment="1">
      <alignment horizontal="right" vertical="center" wrapText="1"/>
    </xf>
    <xf numFmtId="4" fontId="11" fillId="2" borderId="2" xfId="0" applyNumberFormat="1" applyFont="1" applyFill="1" applyBorder="1" applyAlignment="1">
      <alignment horizontal="center" vertical="center" wrapText="1"/>
    </xf>
    <xf numFmtId="4" fontId="11" fillId="2" borderId="57" xfId="0" applyNumberFormat="1" applyFont="1" applyFill="1" applyBorder="1" applyAlignment="1">
      <alignment horizontal="center" vertical="center" wrapText="1"/>
    </xf>
    <xf numFmtId="4" fontId="11" fillId="2" borderId="16" xfId="0" applyNumberFormat="1" applyFont="1" applyFill="1" applyBorder="1" applyAlignment="1">
      <alignment horizontal="center" vertical="center" wrapText="1"/>
    </xf>
    <xf numFmtId="4" fontId="11" fillId="2" borderId="17" xfId="0" applyNumberFormat="1" applyFont="1" applyFill="1" applyBorder="1" applyAlignment="1">
      <alignment horizontal="center" vertical="center" wrapText="1"/>
    </xf>
    <xf numFmtId="4" fontId="11" fillId="2" borderId="18" xfId="0" applyNumberFormat="1" applyFont="1" applyFill="1" applyBorder="1" applyAlignment="1">
      <alignment horizontal="center" vertical="center" wrapText="1"/>
    </xf>
    <xf numFmtId="4" fontId="11" fillId="2" borderId="27" xfId="0" applyNumberFormat="1" applyFont="1" applyFill="1" applyBorder="1" applyAlignment="1">
      <alignment horizontal="center" vertical="center" wrapText="1"/>
    </xf>
    <xf numFmtId="4" fontId="11" fillId="2" borderId="58" xfId="0" applyNumberFormat="1" applyFont="1" applyFill="1" applyBorder="1" applyAlignment="1">
      <alignment horizontal="center" vertical="center" wrapText="1"/>
    </xf>
    <xf numFmtId="4" fontId="11" fillId="2" borderId="29" xfId="0" applyNumberFormat="1" applyFont="1" applyFill="1" applyBorder="1" applyAlignment="1">
      <alignment horizontal="right" vertical="center" wrapText="1"/>
    </xf>
    <xf numFmtId="4" fontId="11" fillId="2" borderId="3" xfId="0" applyNumberFormat="1" applyFont="1" applyFill="1" applyBorder="1" applyAlignment="1">
      <alignment horizontal="center" vertical="center" wrapText="1"/>
    </xf>
    <xf numFmtId="4" fontId="11" fillId="2" borderId="61" xfId="0" applyNumberFormat="1" applyFont="1" applyFill="1" applyBorder="1" applyAlignment="1">
      <alignment horizontal="center" vertical="center" wrapText="1"/>
    </xf>
    <xf numFmtId="4" fontId="11" fillId="2" borderId="19" xfId="0" applyNumberFormat="1" applyFont="1" applyFill="1" applyBorder="1" applyAlignment="1">
      <alignment horizontal="center" vertical="center" wrapText="1"/>
    </xf>
    <xf numFmtId="4" fontId="11" fillId="2" borderId="20" xfId="0" applyNumberFormat="1" applyFont="1" applyFill="1" applyBorder="1" applyAlignment="1">
      <alignment horizontal="center" vertical="center" wrapText="1"/>
    </xf>
    <xf numFmtId="4" fontId="11" fillId="2" borderId="21" xfId="0" applyNumberFormat="1" applyFont="1" applyFill="1" applyBorder="1" applyAlignment="1">
      <alignment horizontal="center" vertical="center" wrapText="1"/>
    </xf>
    <xf numFmtId="4" fontId="11" fillId="2" borderId="29" xfId="0" applyNumberFormat="1" applyFont="1" applyFill="1" applyBorder="1" applyAlignment="1">
      <alignment horizontal="center" vertical="center" wrapText="1"/>
    </xf>
    <xf numFmtId="4" fontId="11" fillId="2" borderId="62" xfId="0" applyNumberFormat="1" applyFont="1" applyFill="1" applyBorder="1" applyAlignment="1">
      <alignment horizontal="center" vertical="center" wrapText="1"/>
    </xf>
    <xf numFmtId="4" fontId="11" fillId="2" borderId="76" xfId="0" applyNumberFormat="1" applyFont="1" applyFill="1" applyBorder="1" applyAlignment="1">
      <alignment horizontal="right" vertical="center" wrapText="1"/>
    </xf>
    <xf numFmtId="4" fontId="11" fillId="2" borderId="77" xfId="0" applyNumberFormat="1" applyFont="1" applyFill="1" applyBorder="1" applyAlignment="1">
      <alignment horizontal="center" vertical="center" wrapText="1"/>
    </xf>
    <xf numFmtId="4" fontId="11" fillId="2" borderId="78" xfId="0" applyNumberFormat="1" applyFont="1" applyFill="1" applyBorder="1" applyAlignment="1">
      <alignment horizontal="center" vertical="center" wrapText="1"/>
    </xf>
    <xf numFmtId="4" fontId="11" fillId="2" borderId="79" xfId="0" applyNumberFormat="1" applyFont="1" applyFill="1" applyBorder="1" applyAlignment="1">
      <alignment horizontal="center" vertical="center" wrapText="1"/>
    </xf>
    <xf numFmtId="4" fontId="11" fillId="2" borderId="80" xfId="0" applyNumberFormat="1" applyFont="1" applyFill="1" applyBorder="1" applyAlignment="1">
      <alignment horizontal="center" vertical="center" wrapText="1"/>
    </xf>
    <xf numFmtId="4" fontId="11" fillId="2" borderId="81" xfId="0" applyNumberFormat="1" applyFont="1" applyFill="1" applyBorder="1" applyAlignment="1">
      <alignment horizontal="center" vertical="center" wrapText="1"/>
    </xf>
    <xf numFmtId="4" fontId="11" fillId="2" borderId="76" xfId="0" applyNumberFormat="1" applyFont="1" applyFill="1" applyBorder="1" applyAlignment="1">
      <alignment horizontal="center" vertical="center" wrapText="1"/>
    </xf>
    <xf numFmtId="4" fontId="11" fillId="2" borderId="82" xfId="0" applyNumberFormat="1" applyFont="1" applyFill="1" applyBorder="1" applyAlignment="1">
      <alignment horizontal="center" vertical="center" wrapText="1"/>
    </xf>
    <xf numFmtId="4" fontId="32" fillId="2" borderId="43" xfId="0" applyNumberFormat="1" applyFont="1" applyFill="1" applyBorder="1" applyAlignment="1" applyProtection="1">
      <alignment horizontal="center" vertical="center"/>
      <protection hidden="1"/>
    </xf>
    <xf numFmtId="4" fontId="32" fillId="2" borderId="45" xfId="0" applyNumberFormat="1" applyFont="1" applyFill="1" applyBorder="1" applyAlignment="1" applyProtection="1">
      <alignment horizontal="center" vertical="center"/>
      <protection hidden="1"/>
    </xf>
    <xf numFmtId="4" fontId="32" fillId="2" borderId="46" xfId="0" applyNumberFormat="1" applyFont="1" applyFill="1" applyBorder="1" applyAlignment="1" applyProtection="1">
      <alignment horizontal="center" vertical="center"/>
      <protection hidden="1"/>
    </xf>
    <xf numFmtId="4" fontId="32" fillId="2" borderId="47" xfId="0" applyNumberFormat="1" applyFont="1" applyFill="1" applyBorder="1" applyAlignment="1" applyProtection="1">
      <alignment horizontal="center" vertical="center"/>
      <protection hidden="1"/>
    </xf>
    <xf numFmtId="4" fontId="32" fillId="2" borderId="48" xfId="0" applyNumberFormat="1" applyFont="1" applyFill="1" applyBorder="1" applyAlignment="1" applyProtection="1">
      <alignment horizontal="center" vertical="center"/>
      <protection hidden="1"/>
    </xf>
    <xf numFmtId="4" fontId="32" fillId="2" borderId="44" xfId="0" applyNumberFormat="1" applyFont="1" applyFill="1" applyBorder="1" applyAlignment="1" applyProtection="1">
      <alignment horizontal="center" vertical="center"/>
      <protection hidden="1"/>
    </xf>
    <xf numFmtId="4" fontId="32" fillId="2" borderId="49" xfId="0" applyNumberFormat="1" applyFont="1" applyFill="1" applyBorder="1" applyAlignment="1" applyProtection="1">
      <alignment horizontal="center" vertical="center"/>
      <protection hidden="1"/>
    </xf>
    <xf numFmtId="4" fontId="32" fillId="0" borderId="36" xfId="0" applyNumberFormat="1" applyFont="1" applyBorder="1" applyAlignment="1">
      <alignment horizontal="center" vertical="center" wrapText="1"/>
    </xf>
    <xf numFmtId="4" fontId="32" fillId="0" borderId="37" xfId="0" applyNumberFormat="1" applyFont="1" applyBorder="1" applyAlignment="1">
      <alignment horizontal="center" vertical="center" wrapText="1"/>
    </xf>
    <xf numFmtId="4" fontId="32" fillId="0" borderId="28" xfId="0" applyNumberFormat="1" applyFont="1" applyBorder="1" applyAlignment="1">
      <alignment horizontal="center" vertical="center" wrapText="1"/>
    </xf>
    <xf numFmtId="4" fontId="32" fillId="0" borderId="5" xfId="0" applyNumberFormat="1" applyFont="1" applyBorder="1" applyAlignment="1">
      <alignment horizontal="center" vertical="center" wrapText="1"/>
    </xf>
    <xf numFmtId="4" fontId="32" fillId="2" borderId="4" xfId="0" applyNumberFormat="1" applyFont="1" applyFill="1" applyBorder="1" applyAlignment="1" applyProtection="1">
      <alignment horizontal="center" vertical="center"/>
      <protection hidden="1"/>
    </xf>
    <xf numFmtId="4" fontId="32" fillId="2" borderId="54" xfId="0" applyNumberFormat="1" applyFont="1" applyFill="1" applyBorder="1" applyAlignment="1">
      <alignment horizontal="left" wrapText="1"/>
    </xf>
    <xf numFmtId="4" fontId="11" fillId="0" borderId="16" xfId="0" applyNumberFormat="1" applyFont="1" applyBorder="1" applyAlignment="1">
      <alignment horizontal="center" vertical="center" wrapText="1"/>
    </xf>
    <xf numFmtId="4" fontId="11" fillId="0" borderId="27" xfId="0" applyNumberFormat="1" applyFont="1" applyBorder="1" applyAlignment="1">
      <alignment horizontal="center" vertical="center" wrapText="1"/>
    </xf>
    <xf numFmtId="4" fontId="11" fillId="0" borderId="18" xfId="0" applyNumberFormat="1" applyFont="1" applyBorder="1" applyAlignment="1">
      <alignment horizontal="center" vertical="center" wrapText="1"/>
    </xf>
    <xf numFmtId="4" fontId="11" fillId="0" borderId="2" xfId="0" applyNumberFormat="1" applyFont="1" applyBorder="1" applyAlignment="1">
      <alignment horizontal="center" vertical="center" wrapText="1"/>
    </xf>
    <xf numFmtId="4" fontId="11" fillId="0" borderId="56" xfId="0" applyNumberFormat="1" applyFont="1" applyBorder="1" applyAlignment="1">
      <alignment horizontal="center" vertical="center" wrapText="1"/>
    </xf>
    <xf numFmtId="4" fontId="11" fillId="4" borderId="17" xfId="0" applyNumberFormat="1" applyFont="1" applyFill="1" applyBorder="1" applyAlignment="1">
      <alignment horizontal="center" vertical="center" wrapText="1"/>
    </xf>
    <xf numFmtId="4" fontId="11" fillId="4" borderId="18" xfId="0" applyNumberFormat="1" applyFont="1" applyFill="1" applyBorder="1" applyAlignment="1">
      <alignment horizontal="center" vertical="center" wrapText="1"/>
    </xf>
    <xf numFmtId="4" fontId="11" fillId="4" borderId="16" xfId="0" applyNumberFormat="1" applyFont="1" applyFill="1" applyBorder="1" applyAlignment="1">
      <alignment horizontal="center" vertical="center" wrapText="1"/>
    </xf>
    <xf numFmtId="4" fontId="11" fillId="0" borderId="58" xfId="0" applyNumberFormat="1" applyFont="1" applyBorder="1" applyAlignment="1">
      <alignment horizontal="center" vertical="center" wrapText="1"/>
    </xf>
    <xf numFmtId="4" fontId="11" fillId="4" borderId="27" xfId="0" applyNumberFormat="1" applyFont="1" applyFill="1" applyBorder="1" applyAlignment="1">
      <alignment horizontal="center" vertical="center" wrapText="1"/>
    </xf>
    <xf numFmtId="4" fontId="33" fillId="2" borderId="29" xfId="0" applyNumberFormat="1" applyFont="1" applyFill="1" applyBorder="1" applyAlignment="1">
      <alignment horizontal="right" wrapText="1"/>
    </xf>
    <xf numFmtId="4" fontId="33" fillId="2" borderId="62" xfId="0" applyNumberFormat="1" applyFont="1" applyFill="1" applyBorder="1" applyAlignment="1">
      <alignment horizontal="right" wrapText="1"/>
    </xf>
    <xf numFmtId="4" fontId="32" fillId="4" borderId="13" xfId="0" applyNumberFormat="1" applyFont="1" applyFill="1" applyBorder="1" applyAlignment="1">
      <alignment horizontal="center" vertical="center" wrapText="1"/>
    </xf>
    <xf numFmtId="4" fontId="32" fillId="4" borderId="14" xfId="0" applyNumberFormat="1" applyFont="1" applyFill="1" applyBorder="1" applyAlignment="1">
      <alignment horizontal="center" vertical="center" wrapText="1"/>
    </xf>
    <xf numFmtId="4" fontId="32" fillId="4" borderId="15" xfId="0" applyNumberFormat="1" applyFont="1" applyFill="1" applyBorder="1" applyAlignment="1">
      <alignment horizontal="center" vertical="center" wrapText="1"/>
    </xf>
    <xf numFmtId="4" fontId="32" fillId="4" borderId="54" xfId="0" applyNumberFormat="1" applyFont="1" applyFill="1" applyBorder="1" applyAlignment="1">
      <alignment horizontal="center" vertical="center" wrapText="1"/>
    </xf>
    <xf numFmtId="4" fontId="32" fillId="0" borderId="55" xfId="0" applyNumberFormat="1" applyFont="1" applyBorder="1" applyAlignment="1">
      <alignment horizontal="center" vertical="center" wrapText="1"/>
    </xf>
    <xf numFmtId="4" fontId="32" fillId="4" borderId="4" xfId="0" applyNumberFormat="1" applyFont="1" applyFill="1" applyBorder="1" applyAlignment="1">
      <alignment horizontal="center" vertical="center" wrapText="1"/>
    </xf>
    <xf numFmtId="4" fontId="33" fillId="2" borderId="2" xfId="0" applyNumberFormat="1" applyFont="1" applyFill="1" applyBorder="1" applyAlignment="1">
      <alignment horizontal="center" vertical="center"/>
    </xf>
    <xf numFmtId="4" fontId="33" fillId="2" borderId="27" xfId="0" applyNumberFormat="1" applyFont="1" applyFill="1" applyBorder="1" applyAlignment="1">
      <alignment horizontal="right" wrapText="1"/>
    </xf>
    <xf numFmtId="4" fontId="22" fillId="2" borderId="2" xfId="0" applyNumberFormat="1" applyFont="1" applyFill="1" applyBorder="1" applyAlignment="1">
      <alignment horizontal="center" vertical="center"/>
    </xf>
    <xf numFmtId="4" fontId="22" fillId="2" borderId="27" xfId="0" applyNumberFormat="1" applyFont="1" applyFill="1" applyBorder="1" applyAlignment="1">
      <alignment horizontal="right" wrapText="1"/>
    </xf>
    <xf numFmtId="4" fontId="11" fillId="4" borderId="2" xfId="0" applyNumberFormat="1" applyFont="1" applyFill="1" applyBorder="1" applyAlignment="1">
      <alignment horizontal="center" vertical="center" wrapText="1"/>
    </xf>
    <xf numFmtId="4" fontId="11" fillId="4" borderId="58" xfId="0" applyNumberFormat="1" applyFont="1" applyFill="1" applyBorder="1" applyAlignment="1">
      <alignment horizontal="center" vertical="center" wrapText="1"/>
    </xf>
    <xf numFmtId="4" fontId="9" fillId="2" borderId="57" xfId="0" applyNumberFormat="1" applyFont="1" applyFill="1" applyBorder="1" applyAlignment="1">
      <alignment horizontal="center" vertical="center" wrapText="1"/>
    </xf>
    <xf numFmtId="4" fontId="9" fillId="4" borderId="16" xfId="0" applyNumberFormat="1" applyFont="1" applyFill="1" applyBorder="1" applyAlignment="1">
      <alignment horizontal="center" vertical="center" wrapText="1"/>
    </xf>
    <xf numFmtId="4" fontId="9" fillId="4" borderId="17" xfId="0" applyNumberFormat="1" applyFont="1" applyFill="1" applyBorder="1" applyAlignment="1">
      <alignment horizontal="center" vertical="center" wrapText="1"/>
    </xf>
    <xf numFmtId="4" fontId="9" fillId="4" borderId="18" xfId="0" applyNumberFormat="1" applyFont="1" applyFill="1" applyBorder="1" applyAlignment="1">
      <alignment horizontal="center" vertical="center" wrapText="1"/>
    </xf>
    <xf numFmtId="4" fontId="9" fillId="2" borderId="2" xfId="0" applyNumberFormat="1" applyFont="1" applyFill="1" applyBorder="1" applyAlignment="1">
      <alignment horizontal="center" vertical="center" wrapText="1"/>
    </xf>
    <xf numFmtId="4" fontId="9" fillId="4" borderId="27" xfId="0" applyNumberFormat="1" applyFont="1" applyFill="1" applyBorder="1" applyAlignment="1">
      <alignment horizontal="center" vertical="center" wrapText="1"/>
    </xf>
    <xf numFmtId="4" fontId="9" fillId="4" borderId="58" xfId="0" applyNumberFormat="1" applyFont="1" applyFill="1" applyBorder="1" applyAlignment="1">
      <alignment horizontal="center" vertical="center" wrapText="1"/>
    </xf>
    <xf numFmtId="4" fontId="9" fillId="4" borderId="2" xfId="0" applyNumberFormat="1" applyFont="1" applyFill="1" applyBorder="1" applyAlignment="1">
      <alignment horizontal="center" vertical="center" wrapText="1"/>
    </xf>
    <xf numFmtId="4" fontId="22" fillId="2" borderId="3" xfId="0" applyNumberFormat="1" applyFont="1" applyFill="1" applyBorder="1" applyAlignment="1">
      <alignment horizontal="center" vertical="center"/>
    </xf>
    <xf numFmtId="4" fontId="22" fillId="2" borderId="29" xfId="0" applyNumberFormat="1" applyFont="1" applyFill="1" applyBorder="1" applyAlignment="1">
      <alignment horizontal="right" wrapText="1"/>
    </xf>
    <xf numFmtId="4" fontId="9" fillId="4" borderId="20" xfId="0" applyNumberFormat="1" applyFont="1" applyFill="1" applyBorder="1" applyAlignment="1">
      <alignment horizontal="center" vertical="center" wrapText="1"/>
    </xf>
    <xf numFmtId="4" fontId="9" fillId="4" borderId="21" xfId="0" applyNumberFormat="1" applyFont="1" applyFill="1" applyBorder="1" applyAlignment="1">
      <alignment horizontal="center" vertical="center" wrapText="1"/>
    </xf>
    <xf numFmtId="4" fontId="9" fillId="4" borderId="19" xfId="0" applyNumberFormat="1" applyFont="1" applyFill="1" applyBorder="1" applyAlignment="1">
      <alignment horizontal="center" vertical="center" wrapText="1"/>
    </xf>
    <xf numFmtId="4" fontId="9" fillId="4" borderId="29" xfId="0" applyNumberFormat="1" applyFont="1" applyFill="1" applyBorder="1" applyAlignment="1">
      <alignment horizontal="center" vertical="center" wrapText="1"/>
    </xf>
    <xf numFmtId="4" fontId="9" fillId="4" borderId="62" xfId="0" applyNumberFormat="1" applyFont="1" applyFill="1" applyBorder="1" applyAlignment="1">
      <alignment horizontal="center" vertical="center" wrapText="1"/>
    </xf>
    <xf numFmtId="4" fontId="9" fillId="4" borderId="3" xfId="0" applyNumberFormat="1" applyFont="1" applyFill="1" applyBorder="1" applyAlignment="1">
      <alignment horizontal="center" vertical="center" wrapText="1"/>
    </xf>
    <xf numFmtId="4" fontId="22" fillId="2" borderId="3" xfId="0" applyNumberFormat="1" applyFont="1" applyFill="1" applyBorder="1" applyAlignment="1">
      <alignment horizontal="center" vertical="center" wrapText="1"/>
    </xf>
    <xf numFmtId="4" fontId="9" fillId="2" borderId="61" xfId="0" applyNumberFormat="1" applyFont="1" applyFill="1" applyBorder="1" applyAlignment="1">
      <alignment horizontal="center" vertical="center" wrapText="1"/>
    </xf>
    <xf numFmtId="4" fontId="9" fillId="2" borderId="3" xfId="0" applyNumberFormat="1" applyFont="1" applyFill="1" applyBorder="1" applyAlignment="1">
      <alignment horizontal="center" vertical="center" wrapText="1"/>
    </xf>
    <xf numFmtId="4" fontId="17" fillId="2" borderId="54" xfId="0" applyNumberFormat="1" applyFont="1" applyFill="1" applyBorder="1" applyAlignment="1">
      <alignment horizontal="left" wrapText="1"/>
    </xf>
    <xf numFmtId="4" fontId="17" fillId="2" borderId="4" xfId="0" applyNumberFormat="1" applyFont="1" applyFill="1" applyBorder="1" applyAlignment="1">
      <alignment horizontal="center" vertical="center" wrapText="1"/>
    </xf>
    <xf numFmtId="4" fontId="17" fillId="2" borderId="53" xfId="0" applyNumberFormat="1" applyFont="1" applyFill="1" applyBorder="1" applyAlignment="1">
      <alignment horizontal="center" vertical="center" wrapText="1"/>
    </xf>
    <xf numFmtId="4" fontId="17" fillId="2" borderId="13" xfId="0" applyNumberFormat="1" applyFont="1" applyFill="1" applyBorder="1" applyAlignment="1">
      <alignment horizontal="center" vertical="center" wrapText="1"/>
    </xf>
    <xf numFmtId="4" fontId="17" fillId="2" borderId="14" xfId="0" applyNumberFormat="1" applyFont="1" applyFill="1" applyBorder="1" applyAlignment="1">
      <alignment horizontal="center" vertical="center" wrapText="1"/>
    </xf>
    <xf numFmtId="4" fontId="17" fillId="2" borderId="15" xfId="0" applyNumberFormat="1" applyFont="1" applyFill="1" applyBorder="1" applyAlignment="1">
      <alignment horizontal="center" vertical="center" wrapText="1"/>
    </xf>
    <xf numFmtId="4" fontId="17" fillId="2" borderId="54" xfId="0" applyNumberFormat="1" applyFont="1" applyFill="1" applyBorder="1" applyAlignment="1">
      <alignment horizontal="center" vertical="center" wrapText="1"/>
    </xf>
    <xf numFmtId="4" fontId="17" fillId="2" borderId="55" xfId="0" applyNumberFormat="1" applyFont="1" applyFill="1" applyBorder="1" applyAlignment="1">
      <alignment horizontal="center" vertical="center" wrapText="1"/>
    </xf>
    <xf numFmtId="4" fontId="22" fillId="0" borderId="16" xfId="0" applyNumberFormat="1" applyFont="1" applyBorder="1" applyAlignment="1">
      <alignment horizontal="center" vertical="center" wrapText="1"/>
    </xf>
    <xf numFmtId="4" fontId="22" fillId="0" borderId="17" xfId="0" applyNumberFormat="1" applyFont="1" applyBorder="1" applyAlignment="1">
      <alignment horizontal="center" vertical="center" wrapText="1"/>
    </xf>
    <xf numFmtId="4" fontId="22" fillId="0" borderId="18" xfId="0" applyNumberFormat="1" applyFont="1" applyBorder="1" applyAlignment="1">
      <alignment horizontal="center" vertical="center" wrapText="1"/>
    </xf>
    <xf numFmtId="4" fontId="22" fillId="0" borderId="27" xfId="0" applyNumberFormat="1" applyFont="1" applyBorder="1" applyAlignment="1">
      <alignment horizontal="center" vertical="center" wrapText="1"/>
    </xf>
    <xf numFmtId="4" fontId="22" fillId="0" borderId="58" xfId="0" applyNumberFormat="1" applyFont="1" applyBorder="1" applyAlignment="1">
      <alignment horizontal="center" vertical="center" wrapText="1"/>
    </xf>
    <xf numFmtId="4" fontId="22" fillId="0" borderId="2" xfId="0" applyNumberFormat="1" applyFont="1" applyBorder="1" applyAlignment="1">
      <alignment horizontal="center" vertical="center" wrapText="1"/>
    </xf>
    <xf numFmtId="4" fontId="33" fillId="2" borderId="3" xfId="0" applyNumberFormat="1" applyFont="1" applyFill="1" applyBorder="1" applyAlignment="1">
      <alignment horizontal="center" vertical="center"/>
    </xf>
    <xf numFmtId="4" fontId="22" fillId="2" borderId="61" xfId="0" applyNumberFormat="1" applyFont="1" applyFill="1" applyBorder="1" applyAlignment="1">
      <alignment horizontal="center" vertical="center" wrapText="1"/>
    </xf>
    <xf numFmtId="4" fontId="22" fillId="0" borderId="19" xfId="0" applyNumberFormat="1" applyFont="1" applyBorder="1" applyAlignment="1">
      <alignment horizontal="center" vertical="center" wrapText="1"/>
    </xf>
    <xf numFmtId="4" fontId="22" fillId="0" borderId="20" xfId="0" applyNumberFormat="1" applyFont="1" applyBorder="1" applyAlignment="1">
      <alignment horizontal="center" vertical="center" wrapText="1"/>
    </xf>
    <xf numFmtId="4" fontId="22" fillId="0" borderId="21" xfId="0" applyNumberFormat="1" applyFont="1" applyBorder="1" applyAlignment="1">
      <alignment horizontal="center" vertical="center" wrapText="1"/>
    </xf>
    <xf numFmtId="4" fontId="22" fillId="0" borderId="29" xfId="0" applyNumberFormat="1" applyFont="1" applyBorder="1" applyAlignment="1">
      <alignment horizontal="center" vertical="center" wrapText="1"/>
    </xf>
    <xf numFmtId="4" fontId="22" fillId="0" borderId="62" xfId="0" applyNumberFormat="1" applyFont="1" applyBorder="1" applyAlignment="1">
      <alignment horizontal="center" vertical="center" wrapText="1"/>
    </xf>
    <xf numFmtId="4" fontId="22" fillId="0" borderId="3" xfId="0" applyNumberFormat="1" applyFont="1" applyBorder="1" applyAlignment="1">
      <alignment horizontal="center" vertical="center" wrapText="1"/>
    </xf>
    <xf numFmtId="4" fontId="33" fillId="0" borderId="16" xfId="0" applyNumberFormat="1" applyFont="1" applyBorder="1" applyAlignment="1">
      <alignment horizontal="center" vertical="center" wrapText="1"/>
    </xf>
    <xf numFmtId="4" fontId="33" fillId="0" borderId="17" xfId="0" applyNumberFormat="1" applyFont="1" applyBorder="1" applyAlignment="1">
      <alignment horizontal="center" vertical="center" wrapText="1"/>
    </xf>
    <xf numFmtId="4" fontId="33" fillId="0" borderId="18" xfId="0" applyNumberFormat="1" applyFont="1" applyBorder="1" applyAlignment="1">
      <alignment horizontal="center" vertical="center" wrapText="1"/>
    </xf>
    <xf numFmtId="4" fontId="33" fillId="0" borderId="27" xfId="0" applyNumberFormat="1" applyFont="1" applyBorder="1" applyAlignment="1">
      <alignment horizontal="center" vertical="center" wrapText="1"/>
    </xf>
    <xf numFmtId="4" fontId="33" fillId="4" borderId="58" xfId="0" applyNumberFormat="1" applyFont="1" applyFill="1" applyBorder="1" applyAlignment="1">
      <alignment horizontal="center" vertical="center" wrapText="1"/>
    </xf>
    <xf numFmtId="4" fontId="33" fillId="0" borderId="2" xfId="0" applyNumberFormat="1" applyFont="1" applyBorder="1" applyAlignment="1">
      <alignment horizontal="center" vertical="center" wrapText="1"/>
    </xf>
    <xf numFmtId="4" fontId="33" fillId="2" borderId="6" xfId="0" applyNumberFormat="1" applyFont="1" applyFill="1" applyBorder="1" applyAlignment="1">
      <alignment horizontal="center" vertical="center"/>
    </xf>
    <xf numFmtId="4" fontId="33" fillId="2" borderId="30" xfId="0" applyNumberFormat="1" applyFont="1" applyFill="1" applyBorder="1" applyAlignment="1">
      <alignment horizontal="right" wrapText="1"/>
    </xf>
    <xf numFmtId="4" fontId="33" fillId="2" borderId="6" xfId="0" applyNumberFormat="1" applyFont="1" applyFill="1" applyBorder="1" applyAlignment="1">
      <alignment horizontal="center" vertical="center" wrapText="1"/>
    </xf>
    <xf numFmtId="4" fontId="33" fillId="2" borderId="83" xfId="0" applyNumberFormat="1" applyFont="1" applyFill="1" applyBorder="1" applyAlignment="1">
      <alignment horizontal="center" vertical="center" wrapText="1"/>
    </xf>
    <xf numFmtId="4" fontId="33" fillId="0" borderId="38" xfId="0" applyNumberFormat="1" applyFont="1" applyBorder="1" applyAlignment="1">
      <alignment horizontal="center" vertical="center" wrapText="1"/>
    </xf>
    <xf numFmtId="4" fontId="33" fillId="0" borderId="31" xfId="0" applyNumberFormat="1" applyFont="1" applyBorder="1" applyAlignment="1">
      <alignment horizontal="center" vertical="center" wrapText="1"/>
    </xf>
    <xf numFmtId="4" fontId="33" fillId="0" borderId="32" xfId="0" applyNumberFormat="1" applyFont="1" applyBorder="1" applyAlignment="1">
      <alignment horizontal="center" vertical="center" wrapText="1"/>
    </xf>
    <xf numFmtId="4" fontId="33" fillId="0" borderId="30" xfId="0" applyNumberFormat="1" applyFont="1" applyBorder="1" applyAlignment="1">
      <alignment horizontal="center" vertical="center" wrapText="1"/>
    </xf>
    <xf numFmtId="4" fontId="33" fillId="0" borderId="84" xfId="0" applyNumberFormat="1" applyFont="1" applyBorder="1" applyAlignment="1">
      <alignment horizontal="center" vertical="center" wrapText="1"/>
    </xf>
    <xf numFmtId="4" fontId="33" fillId="0" borderId="6" xfId="0" applyNumberFormat="1" applyFont="1" applyBorder="1" applyAlignment="1">
      <alignment horizontal="center" vertical="center" wrapText="1"/>
    </xf>
    <xf numFmtId="4" fontId="32" fillId="2" borderId="3" xfId="0" applyNumberFormat="1" applyFont="1" applyFill="1" applyBorder="1" applyAlignment="1" applyProtection="1">
      <alignment horizontal="center" vertical="center"/>
      <protection hidden="1"/>
    </xf>
    <xf numFmtId="4" fontId="32" fillId="2" borderId="29" xfId="0" applyNumberFormat="1" applyFont="1" applyFill="1" applyBorder="1" applyAlignment="1">
      <alignment horizontal="left" wrapText="1"/>
    </xf>
    <xf numFmtId="4" fontId="32" fillId="2" borderId="3" xfId="0" applyNumberFormat="1" applyFont="1" applyFill="1" applyBorder="1" applyAlignment="1">
      <alignment horizontal="center" vertical="center" wrapText="1"/>
    </xf>
    <xf numFmtId="4" fontId="32" fillId="2" borderId="61" xfId="0" applyNumberFormat="1" applyFont="1" applyFill="1" applyBorder="1" applyAlignment="1">
      <alignment horizontal="center" vertical="center" wrapText="1"/>
    </xf>
    <xf numFmtId="4" fontId="32" fillId="0" borderId="19" xfId="0" applyNumberFormat="1" applyFont="1" applyBorder="1" applyAlignment="1">
      <alignment horizontal="center" vertical="center" wrapText="1"/>
    </xf>
    <xf numFmtId="4" fontId="32" fillId="0" borderId="20" xfId="0" applyNumberFormat="1" applyFont="1" applyBorder="1" applyAlignment="1">
      <alignment horizontal="center" vertical="center" wrapText="1"/>
    </xf>
    <xf numFmtId="4" fontId="32" fillId="0" borderId="21" xfId="0" applyNumberFormat="1" applyFont="1" applyBorder="1" applyAlignment="1">
      <alignment horizontal="center" vertical="center" wrapText="1"/>
    </xf>
    <xf numFmtId="4" fontId="32" fillId="0" borderId="29" xfId="0" applyNumberFormat="1" applyFont="1" applyBorder="1" applyAlignment="1">
      <alignment horizontal="center" vertical="center" wrapText="1"/>
    </xf>
    <xf numFmtId="4" fontId="32" fillId="0" borderId="62" xfId="0" applyNumberFormat="1" applyFont="1" applyBorder="1" applyAlignment="1">
      <alignment horizontal="center" vertical="center" wrapText="1"/>
    </xf>
    <xf numFmtId="4" fontId="32" fillId="0" borderId="3" xfId="0" applyNumberFormat="1" applyFont="1" applyBorder="1" applyAlignment="1">
      <alignment horizontal="center" vertical="center" wrapText="1"/>
    </xf>
    <xf numFmtId="0" fontId="2" fillId="0" borderId="0" xfId="0" applyFont="1" applyAlignment="1">
      <alignment wrapText="1"/>
    </xf>
    <xf numFmtId="4" fontId="11" fillId="2" borderId="5" xfId="0" applyNumberFormat="1" applyFont="1" applyFill="1" applyBorder="1" applyAlignment="1" applyProtection="1">
      <alignment horizontal="center" vertical="center"/>
      <protection hidden="1"/>
    </xf>
    <xf numFmtId="4" fontId="11" fillId="2" borderId="26" xfId="0" applyNumberFormat="1" applyFont="1" applyFill="1" applyBorder="1" applyAlignment="1">
      <alignment horizontal="right" vertical="center" wrapText="1"/>
    </xf>
    <xf numFmtId="4" fontId="11" fillId="2" borderId="5" xfId="0" applyNumberFormat="1" applyFont="1" applyFill="1" applyBorder="1" applyAlignment="1">
      <alignment horizontal="center" vertical="center" wrapText="1"/>
    </xf>
    <xf numFmtId="4" fontId="11" fillId="2" borderId="51" xfId="0" applyNumberFormat="1" applyFont="1" applyFill="1" applyBorder="1" applyAlignment="1">
      <alignment horizontal="center" vertical="center" wrapText="1"/>
    </xf>
    <xf numFmtId="4" fontId="11" fillId="0" borderId="36" xfId="0" applyNumberFormat="1" applyFont="1" applyBorder="1" applyAlignment="1">
      <alignment horizontal="center" vertical="center" wrapText="1"/>
    </xf>
    <xf numFmtId="4" fontId="11" fillId="0" borderId="37" xfId="0" applyNumberFormat="1" applyFont="1" applyBorder="1" applyAlignment="1">
      <alignment horizontal="center" vertical="center" wrapText="1"/>
    </xf>
    <xf numFmtId="4" fontId="11" fillId="0" borderId="28" xfId="0" applyNumberFormat="1" applyFont="1" applyBorder="1" applyAlignment="1">
      <alignment horizontal="center" vertical="center" wrapText="1"/>
    </xf>
    <xf numFmtId="4" fontId="11" fillId="0" borderId="26" xfId="0" applyNumberFormat="1" applyFont="1" applyBorder="1" applyAlignment="1">
      <alignment horizontal="center" vertical="center" wrapText="1"/>
    </xf>
    <xf numFmtId="4" fontId="11" fillId="0" borderId="52" xfId="0" applyNumberFormat="1" applyFont="1" applyBorder="1" applyAlignment="1">
      <alignment horizontal="center" vertical="center" wrapText="1"/>
    </xf>
    <xf numFmtId="4" fontId="11" fillId="0" borderId="5" xfId="0" applyNumberFormat="1" applyFont="1" applyBorder="1" applyAlignment="1">
      <alignment horizontal="center" vertical="center" wrapText="1"/>
    </xf>
    <xf numFmtId="4" fontId="9" fillId="2" borderId="5" xfId="0" applyNumberFormat="1" applyFont="1" applyFill="1" applyBorder="1" applyAlignment="1" applyProtection="1">
      <alignment horizontal="center" vertical="center"/>
      <protection hidden="1"/>
    </xf>
    <xf numFmtId="4" fontId="9" fillId="2" borderId="26" xfId="0" applyNumberFormat="1" applyFont="1" applyFill="1" applyBorder="1" applyAlignment="1">
      <alignment horizontal="right" vertical="center" wrapText="1"/>
    </xf>
    <xf numFmtId="4" fontId="11" fillId="2" borderId="2" xfId="0" applyNumberFormat="1" applyFont="1" applyFill="1" applyBorder="1" applyAlignment="1">
      <alignment horizontal="center" vertical="center"/>
    </xf>
    <xf numFmtId="4" fontId="11" fillId="2" borderId="27" xfId="0" applyNumberFormat="1" applyFont="1" applyFill="1" applyBorder="1" applyAlignment="1">
      <alignment horizontal="right" wrapText="1"/>
    </xf>
    <xf numFmtId="4" fontId="11" fillId="2" borderId="3" xfId="0" applyNumberFormat="1" applyFont="1" applyFill="1" applyBorder="1" applyAlignment="1">
      <alignment horizontal="center" vertical="center"/>
    </xf>
    <xf numFmtId="4" fontId="11" fillId="2" borderId="29" xfId="0" applyNumberFormat="1" applyFont="1" applyFill="1" applyBorder="1" applyAlignment="1">
      <alignment horizontal="right" wrapText="1"/>
    </xf>
    <xf numFmtId="4" fontId="11" fillId="2" borderId="59" xfId="0" applyNumberFormat="1" applyFont="1" applyFill="1" applyBorder="1" applyAlignment="1">
      <alignment horizontal="center" vertical="center" wrapText="1"/>
    </xf>
    <xf numFmtId="4" fontId="11" fillId="0" borderId="62" xfId="0" applyNumberFormat="1" applyFont="1" applyBorder="1" applyAlignment="1">
      <alignment horizontal="center" vertical="center" wrapText="1"/>
    </xf>
    <xf numFmtId="4" fontId="11" fillId="0" borderId="19" xfId="0" applyNumberFormat="1" applyFont="1" applyBorder="1" applyAlignment="1">
      <alignment horizontal="center" vertical="center" wrapText="1"/>
    </xf>
    <xf numFmtId="4" fontId="11" fillId="0" borderId="21" xfId="0" applyNumberFormat="1" applyFont="1" applyBorder="1" applyAlignment="1">
      <alignment horizontal="center" vertical="center" wrapText="1"/>
    </xf>
    <xf numFmtId="4" fontId="11" fillId="0" borderId="29" xfId="0" applyNumberFormat="1" applyFont="1" applyBorder="1" applyAlignment="1">
      <alignment horizontal="center" vertical="center" wrapText="1"/>
    </xf>
    <xf numFmtId="4" fontId="11" fillId="0" borderId="3" xfId="0" applyNumberFormat="1" applyFont="1" applyBorder="1" applyAlignment="1">
      <alignment horizontal="center" vertical="center" wrapText="1"/>
    </xf>
    <xf numFmtId="165" fontId="32" fillId="2" borderId="43" xfId="0" applyNumberFormat="1" applyFont="1" applyFill="1" applyBorder="1" applyAlignment="1" applyProtection="1">
      <alignment horizontal="center" vertical="center"/>
      <protection hidden="1"/>
    </xf>
    <xf numFmtId="4" fontId="32" fillId="2" borderId="56" xfId="0" applyNumberFormat="1" applyFont="1" applyFill="1" applyBorder="1" applyAlignment="1">
      <alignment horizontal="left" vertical="center" wrapText="1"/>
    </xf>
    <xf numFmtId="165" fontId="32" fillId="2" borderId="2" xfId="0" applyNumberFormat="1" applyFont="1" applyFill="1" applyBorder="1" applyAlignment="1">
      <alignment horizontal="center" vertical="center" wrapText="1"/>
    </xf>
    <xf numFmtId="4" fontId="32" fillId="2" borderId="57" xfId="0" applyNumberFormat="1" applyFont="1" applyFill="1" applyBorder="1" applyAlignment="1">
      <alignment horizontal="center" vertical="center" wrapText="1"/>
    </xf>
    <xf numFmtId="4" fontId="32" fillId="2" borderId="16" xfId="0" applyNumberFormat="1" applyFont="1" applyFill="1" applyBorder="1" applyAlignment="1">
      <alignment horizontal="center" vertical="center" wrapText="1"/>
    </xf>
    <xf numFmtId="4" fontId="32" fillId="2" borderId="17" xfId="0" applyNumberFormat="1" applyFont="1" applyFill="1" applyBorder="1" applyAlignment="1">
      <alignment horizontal="center" vertical="center" wrapText="1"/>
    </xf>
    <xf numFmtId="4" fontId="32" fillId="2" borderId="18" xfId="0" applyNumberFormat="1" applyFont="1" applyFill="1" applyBorder="1" applyAlignment="1">
      <alignment horizontal="center" vertical="center" wrapText="1"/>
    </xf>
    <xf numFmtId="4" fontId="32" fillId="2" borderId="2" xfId="0" applyNumberFormat="1" applyFont="1" applyFill="1" applyBorder="1" applyAlignment="1">
      <alignment horizontal="center" vertical="center" wrapText="1"/>
    </xf>
    <xf numFmtId="4" fontId="32" fillId="2" borderId="27" xfId="0" applyNumberFormat="1" applyFont="1" applyFill="1" applyBorder="1" applyAlignment="1">
      <alignment horizontal="center" vertical="center" wrapText="1"/>
    </xf>
    <xf numFmtId="4" fontId="32" fillId="2" borderId="58" xfId="0" applyNumberFormat="1" applyFont="1" applyFill="1" applyBorder="1" applyAlignment="1">
      <alignment horizontal="center" vertical="center" wrapText="1"/>
    </xf>
    <xf numFmtId="165" fontId="11" fillId="0" borderId="2" xfId="0" applyNumberFormat="1" applyFont="1" applyBorder="1" applyAlignment="1">
      <alignment horizontal="center" vertical="center" wrapText="1"/>
    </xf>
    <xf numFmtId="4" fontId="17" fillId="2" borderId="4" xfId="0" applyNumberFormat="1" applyFont="1" applyFill="1" applyBorder="1" applyAlignment="1" applyProtection="1">
      <alignment horizontal="center" vertical="center"/>
      <protection hidden="1"/>
    </xf>
    <xf numFmtId="165" fontId="32" fillId="2" borderId="4" xfId="0" applyNumberFormat="1" applyFont="1" applyFill="1" applyBorder="1" applyAlignment="1">
      <alignment horizontal="center" vertical="center" wrapText="1"/>
    </xf>
    <xf numFmtId="165" fontId="32" fillId="4" borderId="4" xfId="0" applyNumberFormat="1" applyFont="1" applyFill="1" applyBorder="1" applyAlignment="1">
      <alignment horizontal="center" vertical="center" wrapText="1"/>
    </xf>
    <xf numFmtId="165" fontId="11" fillId="0" borderId="3" xfId="0" applyNumberFormat="1" applyFont="1" applyBorder="1" applyAlignment="1">
      <alignment horizontal="center" vertical="center" wrapText="1"/>
    </xf>
    <xf numFmtId="165" fontId="9" fillId="0" borderId="2" xfId="0" applyNumberFormat="1" applyFont="1" applyBorder="1" applyAlignment="1">
      <alignment horizontal="center" vertical="center" wrapText="1"/>
    </xf>
    <xf numFmtId="4" fontId="9" fillId="2" borderId="16" xfId="0" applyNumberFormat="1" applyFont="1" applyFill="1" applyBorder="1" applyAlignment="1">
      <alignment horizontal="center" vertical="center" wrapText="1"/>
    </xf>
    <xf numFmtId="4" fontId="9" fillId="2" borderId="17" xfId="0" applyNumberFormat="1" applyFont="1" applyFill="1" applyBorder="1" applyAlignment="1">
      <alignment horizontal="center" vertical="center" wrapText="1"/>
    </xf>
    <xf numFmtId="4" fontId="9" fillId="2" borderId="18" xfId="0" applyNumberFormat="1" applyFont="1" applyFill="1" applyBorder="1" applyAlignment="1">
      <alignment horizontal="center" vertical="center" wrapText="1"/>
    </xf>
    <xf numFmtId="4" fontId="9" fillId="2" borderId="27" xfId="0" applyNumberFormat="1" applyFont="1" applyFill="1" applyBorder="1" applyAlignment="1">
      <alignment horizontal="center" vertical="center" wrapText="1"/>
    </xf>
    <xf numFmtId="4" fontId="9" fillId="2" borderId="58" xfId="0" applyNumberFormat="1" applyFont="1" applyFill="1" applyBorder="1" applyAlignment="1">
      <alignment horizontal="center" vertical="center" wrapText="1"/>
    </xf>
    <xf numFmtId="165" fontId="11" fillId="4" borderId="2" xfId="0" applyNumberFormat="1" applyFont="1" applyFill="1" applyBorder="1" applyAlignment="1">
      <alignment horizontal="center" vertical="center" wrapText="1"/>
    </xf>
    <xf numFmtId="165" fontId="11" fillId="4" borderId="3" xfId="0" applyNumberFormat="1" applyFont="1" applyFill="1" applyBorder="1" applyAlignment="1">
      <alignment horizontal="center" vertical="center" wrapText="1"/>
    </xf>
    <xf numFmtId="4" fontId="22" fillId="2" borderId="6" xfId="0" applyNumberFormat="1" applyFont="1" applyFill="1" applyBorder="1" applyAlignment="1">
      <alignment horizontal="center" vertical="center"/>
    </xf>
    <xf numFmtId="165" fontId="11" fillId="0" borderId="6" xfId="0" applyNumberFormat="1" applyFont="1" applyBorder="1" applyAlignment="1">
      <alignment horizontal="center" vertical="center" wrapText="1"/>
    </xf>
    <xf numFmtId="4" fontId="11" fillId="2" borderId="83" xfId="0" applyNumberFormat="1" applyFont="1" applyFill="1" applyBorder="1" applyAlignment="1">
      <alignment horizontal="center" vertical="center" wrapText="1"/>
    </xf>
    <xf numFmtId="4" fontId="11" fillId="2" borderId="38" xfId="0" applyNumberFormat="1" applyFont="1" applyFill="1" applyBorder="1" applyAlignment="1">
      <alignment horizontal="center" vertical="center" wrapText="1"/>
    </xf>
    <xf numFmtId="4" fontId="11" fillId="2" borderId="31" xfId="0" applyNumberFormat="1" applyFont="1" applyFill="1" applyBorder="1" applyAlignment="1">
      <alignment horizontal="center" vertical="center" wrapText="1"/>
    </xf>
    <xf numFmtId="4" fontId="11" fillId="2" borderId="32" xfId="0" applyNumberFormat="1" applyFont="1" applyFill="1" applyBorder="1" applyAlignment="1">
      <alignment horizontal="center" vertical="center" wrapText="1"/>
    </xf>
    <xf numFmtId="4" fontId="11" fillId="2" borderId="6" xfId="0" applyNumberFormat="1" applyFont="1" applyFill="1" applyBorder="1" applyAlignment="1">
      <alignment horizontal="center" vertical="center" wrapText="1"/>
    </xf>
    <xf numFmtId="4" fontId="11" fillId="2" borderId="30" xfId="0" applyNumberFormat="1" applyFont="1" applyFill="1" applyBorder="1" applyAlignment="1">
      <alignment horizontal="center" vertical="center" wrapText="1"/>
    </xf>
    <xf numFmtId="4" fontId="11" fillId="2" borderId="84" xfId="0" applyNumberFormat="1" applyFont="1" applyFill="1" applyBorder="1" applyAlignment="1">
      <alignment horizontal="center" vertical="center" wrapText="1"/>
    </xf>
    <xf numFmtId="4" fontId="17" fillId="2" borderId="3" xfId="0" applyNumberFormat="1" applyFont="1" applyFill="1" applyBorder="1" applyAlignment="1" applyProtection="1">
      <alignment horizontal="center" vertical="center"/>
      <protection hidden="1"/>
    </xf>
    <xf numFmtId="165" fontId="32" fillId="0" borderId="3" xfId="0" applyNumberFormat="1" applyFont="1" applyBorder="1" applyAlignment="1">
      <alignment horizontal="center" vertical="center" wrapText="1"/>
    </xf>
    <xf numFmtId="4" fontId="32" fillId="2" borderId="19" xfId="0" applyNumberFormat="1" applyFont="1" applyFill="1" applyBorder="1" applyAlignment="1">
      <alignment horizontal="center" vertical="center" wrapText="1"/>
    </xf>
    <xf numFmtId="4" fontId="32" fillId="2" borderId="20" xfId="0" applyNumberFormat="1" applyFont="1" applyFill="1" applyBorder="1" applyAlignment="1">
      <alignment horizontal="center" vertical="center" wrapText="1"/>
    </xf>
    <xf numFmtId="4" fontId="32" fillId="2" borderId="21" xfId="0" applyNumberFormat="1" applyFont="1" applyFill="1" applyBorder="1" applyAlignment="1">
      <alignment horizontal="center" vertical="center" wrapText="1"/>
    </xf>
    <xf numFmtId="4" fontId="32" fillId="2" borderId="29" xfId="0" applyNumberFormat="1" applyFont="1" applyFill="1" applyBorder="1" applyAlignment="1">
      <alignment horizontal="center" vertical="center" wrapText="1"/>
    </xf>
    <xf numFmtId="4" fontId="32" fillId="2" borderId="62" xfId="0" applyNumberFormat="1" applyFont="1" applyFill="1" applyBorder="1" applyAlignment="1">
      <alignment horizontal="center" vertical="center" wrapText="1"/>
    </xf>
    <xf numFmtId="4" fontId="22" fillId="2" borderId="5" xfId="0" applyNumberFormat="1" applyFont="1" applyFill="1" applyBorder="1" applyAlignment="1" applyProtection="1">
      <alignment horizontal="center" vertical="center"/>
      <protection hidden="1"/>
    </xf>
    <xf numFmtId="4" fontId="33" fillId="2" borderId="26" xfId="0" applyNumberFormat="1" applyFont="1" applyFill="1" applyBorder="1" applyAlignment="1">
      <alignment horizontal="right" vertical="center" wrapText="1"/>
    </xf>
    <xf numFmtId="165" fontId="11" fillId="0" borderId="5" xfId="0" applyNumberFormat="1" applyFont="1" applyBorder="1" applyAlignment="1">
      <alignment horizontal="center" vertical="center" wrapText="1"/>
    </xf>
    <xf numFmtId="4" fontId="11" fillId="2" borderId="36" xfId="0" applyNumberFormat="1" applyFont="1" applyFill="1" applyBorder="1" applyAlignment="1">
      <alignment horizontal="center" vertical="center" wrapText="1"/>
    </xf>
    <xf numFmtId="4" fontId="11" fillId="2" borderId="37" xfId="0" applyNumberFormat="1" applyFont="1" applyFill="1" applyBorder="1" applyAlignment="1">
      <alignment horizontal="center" vertical="center" wrapText="1"/>
    </xf>
    <xf numFmtId="4" fontId="11" fillId="2" borderId="28" xfId="0" applyNumberFormat="1" applyFont="1" applyFill="1" applyBorder="1" applyAlignment="1">
      <alignment horizontal="center" vertical="center" wrapText="1"/>
    </xf>
    <xf numFmtId="4" fontId="11" fillId="2" borderId="26" xfId="0" applyNumberFormat="1" applyFont="1" applyFill="1" applyBorder="1" applyAlignment="1">
      <alignment horizontal="center" vertical="center" wrapText="1"/>
    </xf>
    <xf numFmtId="4" fontId="11" fillId="2" borderId="52" xfId="0" applyNumberFormat="1" applyFont="1" applyFill="1" applyBorder="1" applyAlignment="1">
      <alignment horizontal="center" vertical="center" wrapText="1"/>
    </xf>
    <xf numFmtId="4" fontId="22" fillId="2" borderId="26" xfId="0" applyNumberFormat="1" applyFont="1" applyFill="1" applyBorder="1" applyAlignment="1">
      <alignment horizontal="right" vertical="center" wrapText="1"/>
    </xf>
    <xf numFmtId="4" fontId="33" fillId="2" borderId="29" xfId="0" applyNumberFormat="1" applyFont="1" applyFill="1" applyBorder="1" applyAlignment="1">
      <alignment horizontal="right" vertical="center" wrapText="1"/>
    </xf>
    <xf numFmtId="0" fontId="11" fillId="2" borderId="26" xfId="0" applyFont="1" applyFill="1" applyBorder="1" applyAlignment="1" applyProtection="1">
      <alignment horizontal="center" vertical="center"/>
      <protection hidden="1"/>
    </xf>
    <xf numFmtId="0" fontId="11" fillId="4" borderId="4" xfId="0" applyFont="1" applyFill="1" applyBorder="1" applyAlignment="1" applyProtection="1">
      <alignment horizontal="left" vertical="center" wrapText="1"/>
      <protection hidden="1"/>
    </xf>
    <xf numFmtId="2" fontId="32" fillId="2" borderId="4" xfId="0" applyNumberFormat="1" applyFont="1" applyFill="1" applyBorder="1" applyAlignment="1">
      <alignment horizontal="center" vertical="center" wrapText="1"/>
    </xf>
    <xf numFmtId="2" fontId="32" fillId="2" borderId="57" xfId="0" applyNumberFormat="1" applyFont="1" applyFill="1" applyBorder="1" applyAlignment="1">
      <alignment horizontal="center" vertical="center" wrapText="1"/>
    </xf>
    <xf numFmtId="2" fontId="32" fillId="2" borderId="85" xfId="0" applyNumberFormat="1" applyFont="1" applyFill="1" applyBorder="1" applyAlignment="1" applyProtection="1">
      <alignment horizontal="center" vertical="center" wrapText="1"/>
      <protection hidden="1"/>
    </xf>
    <xf numFmtId="2" fontId="32" fillId="2" borderId="2" xfId="0" applyNumberFormat="1" applyFont="1" applyFill="1" applyBorder="1" applyAlignment="1">
      <alignment horizontal="center" vertical="center" wrapText="1"/>
    </xf>
    <xf numFmtId="2" fontId="32" fillId="2" borderId="86" xfId="0" applyNumberFormat="1" applyFont="1" applyFill="1" applyBorder="1" applyAlignment="1" applyProtection="1">
      <alignment horizontal="center" vertical="center" wrapText="1"/>
      <protection hidden="1"/>
    </xf>
    <xf numFmtId="2" fontId="32" fillId="2" borderId="5" xfId="0" applyNumberFormat="1" applyFont="1" applyFill="1" applyBorder="1" applyAlignment="1" applyProtection="1">
      <alignment horizontal="center" vertical="center" wrapText="1"/>
      <protection hidden="1"/>
    </xf>
    <xf numFmtId="2" fontId="32" fillId="2" borderId="52" xfId="0" applyNumberFormat="1" applyFont="1" applyFill="1" applyBorder="1" applyAlignment="1" applyProtection="1">
      <alignment horizontal="center" vertical="center" wrapText="1"/>
      <protection hidden="1"/>
    </xf>
    <xf numFmtId="2" fontId="32" fillId="2" borderId="28" xfId="0" applyNumberFormat="1" applyFont="1" applyFill="1" applyBorder="1" applyAlignment="1" applyProtection="1">
      <alignment horizontal="center" vertical="center" wrapText="1"/>
      <protection hidden="1"/>
    </xf>
    <xf numFmtId="0" fontId="11" fillId="2" borderId="5" xfId="0" applyFont="1" applyFill="1" applyBorder="1" applyAlignment="1" applyProtection="1">
      <alignment horizontal="left" vertical="center" wrapText="1"/>
      <protection hidden="1"/>
    </xf>
    <xf numFmtId="2" fontId="11" fillId="2" borderId="2" xfId="0" applyNumberFormat="1" applyFont="1" applyFill="1" applyBorder="1" applyAlignment="1">
      <alignment horizontal="center" vertical="center" wrapText="1"/>
    </xf>
    <xf numFmtId="2" fontId="11" fillId="2" borderId="57" xfId="0" applyNumberFormat="1" applyFont="1" applyFill="1" applyBorder="1" applyAlignment="1">
      <alignment horizontal="center" vertical="center" wrapText="1"/>
    </xf>
    <xf numFmtId="2" fontId="9" fillId="0" borderId="85" xfId="0" applyNumberFormat="1" applyFont="1" applyBorder="1" applyAlignment="1" applyProtection="1">
      <alignment horizontal="center" vertical="center" wrapText="1"/>
      <protection hidden="1"/>
    </xf>
    <xf numFmtId="2" fontId="9" fillId="0" borderId="86" xfId="0" applyNumberFormat="1" applyFont="1" applyBorder="1" applyAlignment="1" applyProtection="1">
      <alignment horizontal="center" vertical="center" wrapText="1"/>
      <protection hidden="1"/>
    </xf>
    <xf numFmtId="2" fontId="9" fillId="2" borderId="5" xfId="0" applyNumberFormat="1" applyFont="1" applyFill="1" applyBorder="1" applyAlignment="1" applyProtection="1">
      <alignment horizontal="center" vertical="center" wrapText="1"/>
      <protection hidden="1"/>
    </xf>
    <xf numFmtId="2" fontId="9" fillId="0" borderId="52" xfId="0" applyNumberFormat="1" applyFont="1" applyBorder="1" applyAlignment="1" applyProtection="1">
      <alignment horizontal="center" vertical="center" wrapText="1"/>
      <protection hidden="1"/>
    </xf>
    <xf numFmtId="2" fontId="9" fillId="0" borderId="28" xfId="0" applyNumberFormat="1" applyFont="1" applyBorder="1" applyAlignment="1" applyProtection="1">
      <alignment horizontal="center" vertical="center" wrapText="1"/>
      <protection hidden="1"/>
    </xf>
    <xf numFmtId="0" fontId="9" fillId="2" borderId="87" xfId="0" applyFont="1" applyFill="1" applyBorder="1" applyAlignment="1" applyProtection="1">
      <alignment horizontal="center" vertical="center"/>
      <protection hidden="1"/>
    </xf>
    <xf numFmtId="4" fontId="9" fillId="2" borderId="6" xfId="0" applyNumberFormat="1" applyFont="1" applyFill="1" applyBorder="1" applyAlignment="1">
      <alignment horizontal="right" vertical="center" wrapText="1"/>
    </xf>
    <xf numFmtId="2" fontId="11" fillId="2" borderId="3" xfId="0" applyNumberFormat="1" applyFont="1" applyFill="1" applyBorder="1" applyAlignment="1">
      <alignment horizontal="center" vertical="center" wrapText="1"/>
    </xf>
    <xf numFmtId="2" fontId="11" fillId="2" borderId="61" xfId="0" applyNumberFormat="1" applyFont="1" applyFill="1" applyBorder="1" applyAlignment="1">
      <alignment horizontal="center" vertical="center" wrapText="1"/>
    </xf>
    <xf numFmtId="2" fontId="9" fillId="0" borderId="88" xfId="0" applyNumberFormat="1" applyFont="1" applyBorder="1" applyAlignment="1" applyProtection="1">
      <alignment horizontal="center" vertical="center" wrapText="1"/>
      <protection hidden="1"/>
    </xf>
    <xf numFmtId="2" fontId="9" fillId="2" borderId="59" xfId="0" applyNumberFormat="1" applyFont="1" applyFill="1" applyBorder="1" applyAlignment="1" applyProtection="1">
      <alignment horizontal="center" vertical="center" wrapText="1"/>
      <protection hidden="1"/>
    </xf>
    <xf numFmtId="2" fontId="9" fillId="0" borderId="24" xfId="0" applyNumberFormat="1" applyFont="1" applyBorder="1" applyAlignment="1" applyProtection="1">
      <alignment horizontal="center" vertical="center" wrapText="1"/>
      <protection hidden="1"/>
    </xf>
    <xf numFmtId="2" fontId="9" fillId="0" borderId="89" xfId="0" applyNumberFormat="1" applyFont="1" applyBorder="1" applyAlignment="1" applyProtection="1">
      <alignment horizontal="center" vertical="center" wrapText="1"/>
      <protection hidden="1"/>
    </xf>
    <xf numFmtId="0" fontId="9" fillId="2" borderId="54" xfId="0" applyFont="1" applyFill="1" applyBorder="1" applyAlignment="1" applyProtection="1">
      <alignment horizontal="center" vertical="center"/>
      <protection hidden="1"/>
    </xf>
    <xf numFmtId="0" fontId="9" fillId="4" borderId="54" xfId="0" applyFont="1" applyFill="1" applyBorder="1" applyAlignment="1" applyProtection="1">
      <alignment horizontal="left" vertical="center" wrapText="1"/>
      <protection hidden="1"/>
    </xf>
    <xf numFmtId="2" fontId="17" fillId="2" borderId="4" xfId="0" applyNumberFormat="1" applyFont="1" applyFill="1" applyBorder="1" applyAlignment="1">
      <alignment horizontal="center" vertical="center" wrapText="1"/>
    </xf>
    <xf numFmtId="2" fontId="17" fillId="2" borderId="53" xfId="0" applyNumberFormat="1" applyFont="1" applyFill="1" applyBorder="1" applyAlignment="1">
      <alignment horizontal="center" vertical="center" wrapText="1"/>
    </xf>
    <xf numFmtId="2" fontId="17" fillId="2" borderId="90" xfId="0" applyNumberFormat="1" applyFont="1" applyFill="1" applyBorder="1" applyAlignment="1" applyProtection="1">
      <alignment horizontal="center" vertical="center" wrapText="1"/>
      <protection hidden="1"/>
    </xf>
    <xf numFmtId="2" fontId="17" fillId="2" borderId="91" xfId="0" applyNumberFormat="1" applyFont="1" applyFill="1" applyBorder="1" applyAlignment="1" applyProtection="1">
      <alignment horizontal="center" vertical="center" wrapText="1"/>
      <protection hidden="1"/>
    </xf>
    <xf numFmtId="2" fontId="17" fillId="2" borderId="4" xfId="0" applyNumberFormat="1" applyFont="1" applyFill="1" applyBorder="1" applyAlignment="1" applyProtection="1">
      <alignment horizontal="center" vertical="center" wrapText="1"/>
      <protection hidden="1"/>
    </xf>
    <xf numFmtId="2" fontId="17" fillId="2" borderId="55" xfId="0" applyNumberFormat="1" applyFont="1" applyFill="1" applyBorder="1" applyAlignment="1" applyProtection="1">
      <alignment horizontal="center" vertical="center" wrapText="1"/>
      <protection hidden="1"/>
    </xf>
    <xf numFmtId="2" fontId="17" fillId="2" borderId="15" xfId="0" applyNumberFormat="1" applyFont="1" applyFill="1" applyBorder="1" applyAlignment="1" applyProtection="1">
      <alignment horizontal="center" vertical="center" wrapText="1"/>
      <protection hidden="1"/>
    </xf>
    <xf numFmtId="0" fontId="9" fillId="2" borderId="27" xfId="0" applyFont="1" applyFill="1" applyBorder="1" applyAlignment="1" applyProtection="1">
      <alignment horizontal="center" vertical="center"/>
      <protection hidden="1"/>
    </xf>
    <xf numFmtId="0" fontId="9" fillId="2" borderId="27" xfId="0" applyFont="1" applyFill="1" applyBorder="1" applyAlignment="1" applyProtection="1">
      <alignment horizontal="left" vertical="center" wrapText="1"/>
      <protection hidden="1"/>
    </xf>
    <xf numFmtId="2" fontId="9" fillId="2" borderId="2" xfId="0" applyNumberFormat="1" applyFont="1" applyFill="1" applyBorder="1" applyAlignment="1">
      <alignment horizontal="center" vertical="center" wrapText="1"/>
    </xf>
    <xf numFmtId="2" fontId="9" fillId="2" borderId="57" xfId="0" applyNumberFormat="1" applyFont="1" applyFill="1" applyBorder="1" applyAlignment="1">
      <alignment horizontal="center" vertical="center" wrapText="1"/>
    </xf>
    <xf numFmtId="0" fontId="9" fillId="2" borderId="29" xfId="0" applyFont="1" applyFill="1" applyBorder="1" applyAlignment="1" applyProtection="1">
      <alignment horizontal="center" vertical="center"/>
      <protection hidden="1"/>
    </xf>
    <xf numFmtId="0" fontId="9" fillId="2" borderId="29" xfId="0" applyFont="1" applyFill="1" applyBorder="1" applyAlignment="1" applyProtection="1">
      <alignment horizontal="left" vertical="center" wrapText="1"/>
      <protection hidden="1"/>
    </xf>
    <xf numFmtId="2" fontId="9" fillId="2" borderId="3" xfId="0" applyNumberFormat="1" applyFont="1" applyFill="1" applyBorder="1" applyAlignment="1">
      <alignment horizontal="center" vertical="center" wrapText="1"/>
    </xf>
    <xf numFmtId="2" fontId="9" fillId="2" borderId="61" xfId="0" applyNumberFormat="1" applyFont="1" applyFill="1" applyBorder="1" applyAlignment="1">
      <alignment horizontal="center" vertical="center" wrapText="1"/>
    </xf>
    <xf numFmtId="2" fontId="9" fillId="0" borderId="0" xfId="0" applyNumberFormat="1" applyFont="1" applyAlignment="1" applyProtection="1">
      <alignment horizontal="center" vertical="center" wrapText="1"/>
      <protection hidden="1"/>
    </xf>
    <xf numFmtId="0" fontId="9" fillId="2" borderId="30" xfId="0" applyFont="1" applyFill="1" applyBorder="1" applyAlignment="1" applyProtection="1">
      <alignment horizontal="center" vertical="center"/>
      <protection hidden="1"/>
    </xf>
    <xf numFmtId="0" fontId="9" fillId="2" borderId="6" xfId="0" applyFont="1" applyFill="1" applyBorder="1" applyAlignment="1" applyProtection="1">
      <alignment horizontal="left" vertical="center" wrapText="1"/>
      <protection hidden="1"/>
    </xf>
    <xf numFmtId="0" fontId="9" fillId="2" borderId="26" xfId="0" applyFont="1" applyFill="1" applyBorder="1" applyAlignment="1" applyProtection="1">
      <alignment horizontal="center" vertical="center"/>
      <protection hidden="1"/>
    </xf>
    <xf numFmtId="0" fontId="11" fillId="4" borderId="26" xfId="0" applyFont="1" applyFill="1" applyBorder="1" applyAlignment="1" applyProtection="1">
      <alignment horizontal="left" vertical="center" wrapText="1"/>
      <protection hidden="1"/>
    </xf>
    <xf numFmtId="0" fontId="9" fillId="2" borderId="39" xfId="0" applyFont="1" applyFill="1" applyBorder="1" applyAlignment="1" applyProtection="1">
      <alignment horizontal="center" vertical="center"/>
      <protection hidden="1"/>
    </xf>
    <xf numFmtId="0" fontId="11" fillId="4" borderId="1" xfId="0" applyFont="1" applyFill="1" applyBorder="1" applyAlignment="1" applyProtection="1">
      <alignment horizontal="left" vertical="center" wrapText="1"/>
      <protection hidden="1"/>
    </xf>
    <xf numFmtId="2" fontId="9" fillId="2" borderId="1" xfId="0" applyNumberFormat="1" applyFont="1" applyFill="1" applyBorder="1" applyAlignment="1">
      <alignment horizontal="center" vertical="center" wrapText="1"/>
    </xf>
    <xf numFmtId="2" fontId="9" fillId="2" borderId="40" xfId="0" applyNumberFormat="1" applyFont="1" applyFill="1" applyBorder="1" applyAlignment="1">
      <alignment horizontal="center" vertical="center" wrapText="1"/>
    </xf>
    <xf numFmtId="2" fontId="9" fillId="0" borderId="92" xfId="0" applyNumberFormat="1" applyFont="1" applyBorder="1" applyAlignment="1" applyProtection="1">
      <alignment horizontal="center" vertical="center" wrapText="1"/>
      <protection hidden="1"/>
    </xf>
    <xf numFmtId="2" fontId="9" fillId="0" borderId="93" xfId="0" applyNumberFormat="1" applyFont="1" applyBorder="1" applyAlignment="1" applyProtection="1">
      <alignment horizontal="center" vertical="center" wrapText="1"/>
      <protection hidden="1"/>
    </xf>
    <xf numFmtId="2" fontId="9" fillId="2" borderId="1" xfId="0" applyNumberFormat="1" applyFont="1" applyFill="1" applyBorder="1" applyAlignment="1" applyProtection="1">
      <alignment horizontal="center" vertical="center" wrapText="1"/>
      <protection hidden="1"/>
    </xf>
    <xf numFmtId="2" fontId="9" fillId="0" borderId="42" xfId="0" applyNumberFormat="1" applyFont="1" applyBorder="1" applyAlignment="1" applyProtection="1">
      <alignment horizontal="center" vertical="center" wrapText="1"/>
      <protection hidden="1"/>
    </xf>
    <xf numFmtId="2" fontId="9" fillId="0" borderId="9" xfId="0" applyNumberFormat="1" applyFont="1" applyBorder="1" applyAlignment="1" applyProtection="1">
      <alignment horizontal="center" vertical="center" wrapText="1"/>
      <protection hidden="1"/>
    </xf>
    <xf numFmtId="4" fontId="9" fillId="2" borderId="27" xfId="0" applyNumberFormat="1" applyFont="1" applyFill="1" applyBorder="1" applyAlignment="1">
      <alignment horizontal="left" wrapText="1"/>
    </xf>
    <xf numFmtId="2" fontId="9" fillId="0" borderId="94" xfId="0" applyNumberFormat="1" applyFont="1" applyBorder="1" applyAlignment="1" applyProtection="1">
      <alignment horizontal="center" vertical="center" wrapText="1"/>
      <protection hidden="1"/>
    </xf>
    <xf numFmtId="2" fontId="9" fillId="0" borderId="95" xfId="0" applyNumberFormat="1" applyFont="1" applyBorder="1" applyAlignment="1" applyProtection="1">
      <alignment horizontal="center" vertical="center" wrapText="1"/>
      <protection hidden="1"/>
    </xf>
    <xf numFmtId="2" fontId="9" fillId="2" borderId="2" xfId="0" applyNumberFormat="1" applyFont="1" applyFill="1" applyBorder="1" applyAlignment="1" applyProtection="1">
      <alignment horizontal="center" vertical="center" wrapText="1"/>
      <protection hidden="1"/>
    </xf>
    <xf numFmtId="2" fontId="9" fillId="0" borderId="58" xfId="0" applyNumberFormat="1" applyFont="1" applyBorder="1" applyAlignment="1" applyProtection="1">
      <alignment horizontal="center" vertical="center" wrapText="1"/>
      <protection hidden="1"/>
    </xf>
    <xf numFmtId="2" fontId="9" fillId="0" borderId="18" xfId="0" applyNumberFormat="1" applyFont="1" applyBorder="1" applyAlignment="1" applyProtection="1">
      <alignment horizontal="center" vertical="center" wrapText="1"/>
      <protection hidden="1"/>
    </xf>
    <xf numFmtId="0" fontId="9" fillId="4" borderId="39" xfId="0" applyFont="1" applyFill="1" applyBorder="1" applyAlignment="1" applyProtection="1">
      <alignment horizontal="left" vertical="center" wrapText="1"/>
      <protection hidden="1"/>
    </xf>
    <xf numFmtId="0" fontId="9" fillId="2" borderId="64" xfId="0" applyFont="1" applyFill="1" applyBorder="1" applyAlignment="1" applyProtection="1">
      <alignment horizontal="center" vertical="center"/>
      <protection hidden="1"/>
    </xf>
    <xf numFmtId="0" fontId="9" fillId="4" borderId="64" xfId="0" applyFont="1" applyFill="1" applyBorder="1" applyAlignment="1" applyProtection="1">
      <alignment horizontal="left" vertical="center" wrapText="1"/>
      <protection hidden="1"/>
    </xf>
    <xf numFmtId="2" fontId="9" fillId="2" borderId="63" xfId="0" applyNumberFormat="1" applyFont="1" applyFill="1" applyBorder="1" applyAlignment="1">
      <alignment horizontal="center" vertical="center" wrapText="1"/>
    </xf>
    <xf numFmtId="2" fontId="9" fillId="2" borderId="65" xfId="0" applyNumberFormat="1" applyFont="1" applyFill="1" applyBorder="1" applyAlignment="1">
      <alignment horizontal="center" vertical="center" wrapText="1"/>
    </xf>
    <xf numFmtId="2" fontId="9" fillId="0" borderId="96" xfId="0" applyNumberFormat="1" applyFont="1" applyBorder="1" applyAlignment="1" applyProtection="1">
      <alignment horizontal="center" vertical="center" wrapText="1"/>
      <protection hidden="1"/>
    </xf>
    <xf numFmtId="2" fontId="9" fillId="0" borderId="97" xfId="0" applyNumberFormat="1" applyFont="1" applyBorder="1" applyAlignment="1" applyProtection="1">
      <alignment horizontal="center" vertical="center" wrapText="1"/>
      <protection hidden="1"/>
    </xf>
    <xf numFmtId="2" fontId="9" fillId="2" borderId="63" xfId="0" applyNumberFormat="1" applyFont="1" applyFill="1" applyBorder="1" applyAlignment="1" applyProtection="1">
      <alignment horizontal="center" vertical="center" wrapText="1"/>
      <protection hidden="1"/>
    </xf>
    <xf numFmtId="2" fontId="9" fillId="0" borderId="68" xfId="0" applyNumberFormat="1" applyFont="1" applyBorder="1" applyAlignment="1" applyProtection="1">
      <alignment horizontal="center" vertical="center" wrapText="1"/>
      <protection hidden="1"/>
    </xf>
    <xf numFmtId="2" fontId="9" fillId="0" borderId="41" xfId="0" applyNumberFormat="1" applyFont="1" applyBorder="1" applyAlignment="1" applyProtection="1">
      <alignment horizontal="center" vertical="center" wrapText="1"/>
      <protection hidden="1"/>
    </xf>
    <xf numFmtId="4" fontId="30" fillId="0" borderId="0" xfId="0" applyNumberFormat="1" applyFont="1"/>
    <xf numFmtId="166" fontId="32" fillId="2" borderId="49" xfId="0" applyNumberFormat="1" applyFont="1" applyFill="1" applyBorder="1" applyAlignment="1" applyProtection="1">
      <alignment horizontal="center" vertical="center"/>
      <protection hidden="1"/>
    </xf>
    <xf numFmtId="4" fontId="32" fillId="2" borderId="98" xfId="0" applyNumberFormat="1" applyFont="1" applyFill="1" applyBorder="1" applyAlignment="1" applyProtection="1">
      <alignment horizontal="center" vertical="center"/>
      <protection hidden="1"/>
    </xf>
    <xf numFmtId="4" fontId="32" fillId="2" borderId="98" xfId="0" applyNumberFormat="1" applyFont="1" applyFill="1" applyBorder="1" applyAlignment="1">
      <alignment horizontal="left" vertical="center" wrapText="1"/>
    </xf>
    <xf numFmtId="165" fontId="32" fillId="2" borderId="98" xfId="0" applyNumberFormat="1" applyFont="1" applyFill="1" applyBorder="1" applyAlignment="1" applyProtection="1">
      <alignment horizontal="center" vertical="center"/>
      <protection hidden="1"/>
    </xf>
    <xf numFmtId="4" fontId="32" fillId="2" borderId="99" xfId="0" applyNumberFormat="1" applyFont="1" applyFill="1" applyBorder="1" applyAlignment="1" applyProtection="1">
      <alignment horizontal="center" vertical="center"/>
      <protection hidden="1"/>
    </xf>
    <xf numFmtId="4" fontId="32" fillId="2" borderId="100" xfId="0" applyNumberFormat="1" applyFont="1" applyFill="1" applyBorder="1" applyAlignment="1" applyProtection="1">
      <alignment horizontal="center" vertical="center"/>
      <protection hidden="1"/>
    </xf>
    <xf numFmtId="4" fontId="32" fillId="2" borderId="101" xfId="0" applyNumberFormat="1" applyFont="1" applyFill="1" applyBorder="1" applyAlignment="1" applyProtection="1">
      <alignment horizontal="center" vertical="center"/>
      <protection hidden="1"/>
    </xf>
    <xf numFmtId="4" fontId="32" fillId="2" borderId="102" xfId="0" applyNumberFormat="1" applyFont="1" applyFill="1" applyBorder="1" applyAlignment="1" applyProtection="1">
      <alignment horizontal="center" vertical="center"/>
      <protection hidden="1"/>
    </xf>
    <xf numFmtId="4" fontId="32" fillId="2" borderId="103" xfId="0" applyNumberFormat="1" applyFont="1" applyFill="1" applyBorder="1" applyAlignment="1" applyProtection="1">
      <alignment horizontal="center" vertical="center"/>
      <protection hidden="1"/>
    </xf>
    <xf numFmtId="166" fontId="32" fillId="2" borderId="104" xfId="0" applyNumberFormat="1" applyFont="1" applyFill="1" applyBorder="1" applyAlignment="1" applyProtection="1">
      <alignment horizontal="center" vertical="center"/>
      <protection hidden="1"/>
    </xf>
    <xf numFmtId="4" fontId="22" fillId="2" borderId="2" xfId="0" applyNumberFormat="1" applyFont="1" applyFill="1" applyBorder="1" applyAlignment="1" applyProtection="1">
      <alignment horizontal="center" vertical="center" wrapText="1"/>
      <protection hidden="1"/>
    </xf>
    <xf numFmtId="165" fontId="9" fillId="0" borderId="2" xfId="0" applyNumberFormat="1" applyFont="1" applyBorder="1" applyAlignment="1" applyProtection="1">
      <alignment horizontal="center" vertical="center"/>
      <protection hidden="1"/>
    </xf>
    <xf numFmtId="4" fontId="9" fillId="2" borderId="57" xfId="0" applyNumberFormat="1" applyFont="1" applyFill="1" applyBorder="1" applyAlignment="1" applyProtection="1">
      <alignment horizontal="center" vertical="center"/>
      <protection hidden="1"/>
    </xf>
    <xf numFmtId="4" fontId="9" fillId="2" borderId="16" xfId="0" applyNumberFormat="1" applyFont="1" applyFill="1" applyBorder="1" applyAlignment="1" applyProtection="1">
      <alignment horizontal="center" vertical="center"/>
      <protection hidden="1"/>
    </xf>
    <xf numFmtId="4" fontId="9" fillId="2" borderId="17" xfId="0" applyNumberFormat="1" applyFont="1" applyFill="1" applyBorder="1" applyAlignment="1" applyProtection="1">
      <alignment horizontal="center" vertical="center"/>
      <protection hidden="1"/>
    </xf>
    <xf numFmtId="4" fontId="9" fillId="2" borderId="18" xfId="0" applyNumberFormat="1" applyFont="1" applyFill="1" applyBorder="1" applyAlignment="1" applyProtection="1">
      <alignment horizontal="center" vertical="center"/>
      <protection hidden="1"/>
    </xf>
    <xf numFmtId="4" fontId="9" fillId="2" borderId="2" xfId="0" applyNumberFormat="1" applyFont="1" applyFill="1" applyBorder="1" applyAlignment="1" applyProtection="1">
      <alignment horizontal="center" vertical="center"/>
      <protection hidden="1"/>
    </xf>
    <xf numFmtId="4" fontId="9" fillId="2" borderId="27" xfId="0" applyNumberFormat="1" applyFont="1" applyFill="1" applyBorder="1" applyAlignment="1" applyProtection="1">
      <alignment horizontal="center" vertical="center"/>
      <protection hidden="1"/>
    </xf>
    <xf numFmtId="166" fontId="9" fillId="2" borderId="58" xfId="0" applyNumberFormat="1" applyFont="1" applyFill="1" applyBorder="1" applyAlignment="1" applyProtection="1">
      <alignment horizontal="center" vertical="center"/>
      <protection hidden="1"/>
    </xf>
    <xf numFmtId="165" fontId="32" fillId="2" borderId="4" xfId="0" applyNumberFormat="1" applyFont="1" applyFill="1" applyBorder="1" applyAlignment="1" applyProtection="1">
      <alignment horizontal="center" vertical="center" wrapText="1"/>
      <protection hidden="1"/>
    </xf>
    <xf numFmtId="4" fontId="32" fillId="2" borderId="53" xfId="0" applyNumberFormat="1" applyFont="1" applyFill="1" applyBorder="1" applyAlignment="1" applyProtection="1">
      <alignment horizontal="center" vertical="center" wrapText="1"/>
      <protection hidden="1"/>
    </xf>
    <xf numFmtId="4" fontId="32" fillId="2" borderId="13" xfId="0" applyNumberFormat="1" applyFont="1" applyFill="1" applyBorder="1" applyAlignment="1" applyProtection="1">
      <alignment horizontal="center" vertical="center" wrapText="1"/>
      <protection hidden="1"/>
    </xf>
    <xf numFmtId="4" fontId="32" fillId="2" borderId="14" xfId="0" applyNumberFormat="1" applyFont="1" applyFill="1" applyBorder="1" applyAlignment="1" applyProtection="1">
      <alignment horizontal="center" vertical="center" wrapText="1"/>
      <protection hidden="1"/>
    </xf>
    <xf numFmtId="4" fontId="32" fillId="2" borderId="15" xfId="0" applyNumberFormat="1" applyFont="1" applyFill="1" applyBorder="1" applyAlignment="1" applyProtection="1">
      <alignment horizontal="center" vertical="center" wrapText="1"/>
      <protection hidden="1"/>
    </xf>
    <xf numFmtId="4" fontId="32" fillId="2" borderId="4" xfId="0" applyNumberFormat="1" applyFont="1" applyFill="1" applyBorder="1" applyAlignment="1" applyProtection="1">
      <alignment horizontal="center" vertical="center" wrapText="1"/>
      <protection hidden="1"/>
    </xf>
    <xf numFmtId="4" fontId="32" fillId="2" borderId="54" xfId="0" applyNumberFormat="1" applyFont="1" applyFill="1" applyBorder="1" applyAlignment="1" applyProtection="1">
      <alignment horizontal="center" vertical="center" wrapText="1"/>
      <protection hidden="1"/>
    </xf>
    <xf numFmtId="166" fontId="32" fillId="2" borderId="55" xfId="0" applyNumberFormat="1" applyFont="1" applyFill="1" applyBorder="1" applyAlignment="1" applyProtection="1">
      <alignment horizontal="center" vertical="center" wrapText="1"/>
      <protection hidden="1"/>
    </xf>
    <xf numFmtId="166" fontId="11" fillId="2" borderId="58" xfId="0" applyNumberFormat="1" applyFont="1" applyFill="1" applyBorder="1" applyAlignment="1">
      <alignment horizontal="center" vertical="center" wrapText="1"/>
    </xf>
    <xf numFmtId="4" fontId="33" fillId="2" borderId="105" xfId="0" applyNumberFormat="1" applyFont="1" applyFill="1" applyBorder="1" applyAlignment="1">
      <alignment horizontal="center" vertical="center"/>
    </xf>
    <xf numFmtId="4" fontId="33" fillId="2" borderId="106" xfId="0" applyNumberFormat="1" applyFont="1" applyFill="1" applyBorder="1" applyAlignment="1">
      <alignment horizontal="right" vertical="center" wrapText="1"/>
    </xf>
    <xf numFmtId="166" fontId="11" fillId="2" borderId="84" xfId="0" applyNumberFormat="1" applyFont="1" applyFill="1" applyBorder="1" applyAlignment="1">
      <alignment horizontal="center" vertical="center" wrapText="1"/>
    </xf>
    <xf numFmtId="165" fontId="32" fillId="2" borderId="5" xfId="0" applyNumberFormat="1" applyFont="1" applyFill="1" applyBorder="1" applyAlignment="1">
      <alignment horizontal="center" vertical="center" wrapText="1"/>
    </xf>
    <xf numFmtId="166" fontId="32" fillId="2" borderId="52" xfId="0" applyNumberFormat="1" applyFont="1" applyFill="1" applyBorder="1" applyAlignment="1">
      <alignment horizontal="center" vertical="center" wrapText="1"/>
    </xf>
    <xf numFmtId="4" fontId="17" fillId="2" borderId="54" xfId="0" applyNumberFormat="1" applyFont="1" applyFill="1" applyBorder="1" applyAlignment="1">
      <alignment horizontal="left" vertical="center" wrapText="1"/>
    </xf>
    <xf numFmtId="165" fontId="17" fillId="2" borderId="4" xfId="0" applyNumberFormat="1" applyFont="1" applyFill="1" applyBorder="1" applyAlignment="1" applyProtection="1">
      <alignment horizontal="center" vertical="center" wrapText="1"/>
      <protection hidden="1"/>
    </xf>
    <xf numFmtId="4" fontId="17" fillId="2" borderId="53" xfId="0" applyNumberFormat="1" applyFont="1" applyFill="1" applyBorder="1" applyAlignment="1" applyProtection="1">
      <alignment horizontal="center" vertical="center" wrapText="1"/>
      <protection hidden="1"/>
    </xf>
    <xf numFmtId="4" fontId="17" fillId="2" borderId="13" xfId="0" applyNumberFormat="1" applyFont="1" applyFill="1" applyBorder="1" applyAlignment="1" applyProtection="1">
      <alignment horizontal="center" vertical="center" wrapText="1"/>
      <protection hidden="1"/>
    </xf>
    <xf numFmtId="4" fontId="17" fillId="2" borderId="14" xfId="0" applyNumberFormat="1" applyFont="1" applyFill="1" applyBorder="1" applyAlignment="1" applyProtection="1">
      <alignment horizontal="center" vertical="center" wrapText="1"/>
      <protection hidden="1"/>
    </xf>
    <xf numFmtId="4" fontId="17" fillId="2" borderId="15" xfId="0" applyNumberFormat="1" applyFont="1" applyFill="1" applyBorder="1" applyAlignment="1" applyProtection="1">
      <alignment horizontal="center" vertical="center" wrapText="1"/>
      <protection hidden="1"/>
    </xf>
    <xf numFmtId="4" fontId="17" fillId="2" borderId="4" xfId="0" applyNumberFormat="1" applyFont="1" applyFill="1" applyBorder="1" applyAlignment="1" applyProtection="1">
      <alignment horizontal="center" vertical="center" wrapText="1"/>
      <protection hidden="1"/>
    </xf>
    <xf numFmtId="4" fontId="17" fillId="2" borderId="54" xfId="0" applyNumberFormat="1" applyFont="1" applyFill="1" applyBorder="1" applyAlignment="1" applyProtection="1">
      <alignment horizontal="center" vertical="center" wrapText="1"/>
      <protection hidden="1"/>
    </xf>
    <xf numFmtId="166" fontId="17" fillId="2" borderId="55" xfId="0" applyNumberFormat="1" applyFont="1" applyFill="1" applyBorder="1" applyAlignment="1" applyProtection="1">
      <alignment horizontal="center" vertical="center" wrapText="1"/>
      <protection hidden="1"/>
    </xf>
    <xf numFmtId="166" fontId="9" fillId="2" borderId="58" xfId="0" applyNumberFormat="1" applyFont="1" applyFill="1" applyBorder="1" applyAlignment="1">
      <alignment horizontal="center" vertical="center" wrapText="1"/>
    </xf>
    <xf numFmtId="4" fontId="22" fillId="2" borderId="62" xfId="0" applyNumberFormat="1" applyFont="1" applyFill="1" applyBorder="1" applyAlignment="1">
      <alignment horizontal="right" wrapText="1"/>
    </xf>
    <xf numFmtId="165" fontId="17" fillId="0" borderId="4" xfId="0" applyNumberFormat="1" applyFont="1" applyBorder="1" applyAlignment="1" applyProtection="1">
      <alignment horizontal="center" vertical="center" wrapText="1"/>
      <protection hidden="1"/>
    </xf>
    <xf numFmtId="165" fontId="9" fillId="0" borderId="3" xfId="0" applyNumberFormat="1" applyFont="1" applyBorder="1" applyAlignment="1">
      <alignment horizontal="center" vertical="center" wrapText="1"/>
    </xf>
    <xf numFmtId="165" fontId="11" fillId="2" borderId="2" xfId="0" applyNumberFormat="1" applyFont="1" applyFill="1" applyBorder="1" applyAlignment="1">
      <alignment horizontal="center" vertical="center" wrapText="1"/>
    </xf>
    <xf numFmtId="165" fontId="32" fillId="0" borderId="4" xfId="0" applyNumberFormat="1" applyFont="1" applyBorder="1" applyAlignment="1" applyProtection="1">
      <alignment horizontal="center" vertical="center" wrapText="1"/>
      <protection hidden="1"/>
    </xf>
    <xf numFmtId="167" fontId="32" fillId="2" borderId="15" xfId="0" applyNumberFormat="1" applyFont="1" applyFill="1" applyBorder="1" applyAlignment="1" applyProtection="1">
      <alignment horizontal="center" vertical="center" wrapText="1"/>
      <protection hidden="1"/>
    </xf>
    <xf numFmtId="4" fontId="33" fillId="2" borderId="5" xfId="0" applyNumberFormat="1" applyFont="1" applyFill="1" applyBorder="1" applyAlignment="1" applyProtection="1">
      <alignment horizontal="center" vertical="center"/>
      <protection hidden="1"/>
    </xf>
    <xf numFmtId="165" fontId="11" fillId="0" borderId="2" xfId="0" applyNumberFormat="1" applyFont="1" applyBorder="1" applyAlignment="1" applyProtection="1">
      <alignment horizontal="center" vertical="center" wrapText="1"/>
      <protection hidden="1"/>
    </xf>
    <xf numFmtId="4" fontId="11" fillId="2" borderId="57" xfId="0" applyNumberFormat="1" applyFont="1" applyFill="1" applyBorder="1" applyAlignment="1" applyProtection="1">
      <alignment horizontal="center" vertical="center" wrapText="1"/>
      <protection hidden="1"/>
    </xf>
    <xf numFmtId="4" fontId="11" fillId="2" borderId="16" xfId="0" applyNumberFormat="1" applyFont="1" applyFill="1" applyBorder="1" applyAlignment="1" applyProtection="1">
      <alignment horizontal="center" vertical="center" wrapText="1"/>
      <protection hidden="1"/>
    </xf>
    <xf numFmtId="4" fontId="11" fillId="2" borderId="17" xfId="0" applyNumberFormat="1" applyFont="1" applyFill="1" applyBorder="1" applyAlignment="1" applyProtection="1">
      <alignment horizontal="center" vertical="center" wrapText="1"/>
      <protection hidden="1"/>
    </xf>
    <xf numFmtId="4" fontId="11" fillId="2" borderId="18" xfId="0" applyNumberFormat="1" applyFont="1" applyFill="1" applyBorder="1" applyAlignment="1" applyProtection="1">
      <alignment horizontal="center" vertical="center" wrapText="1"/>
      <protection hidden="1"/>
    </xf>
    <xf numFmtId="4" fontId="11" fillId="2" borderId="27" xfId="0" applyNumberFormat="1" applyFont="1" applyFill="1" applyBorder="1" applyAlignment="1" applyProtection="1">
      <alignment horizontal="center" vertical="center" wrapText="1"/>
      <protection hidden="1"/>
    </xf>
    <xf numFmtId="166" fontId="11" fillId="2" borderId="58" xfId="0" applyNumberFormat="1" applyFont="1" applyFill="1" applyBorder="1" applyAlignment="1" applyProtection="1">
      <alignment horizontal="center" vertical="center" wrapText="1"/>
      <protection hidden="1"/>
    </xf>
    <xf numFmtId="165" fontId="11" fillId="0" borderId="3" xfId="0" applyNumberFormat="1" applyFont="1" applyBorder="1" applyAlignment="1" applyProtection="1">
      <alignment horizontal="center" vertical="center" wrapText="1"/>
      <protection hidden="1"/>
    </xf>
    <xf numFmtId="4" fontId="11" fillId="2" borderId="61" xfId="0" applyNumberFormat="1" applyFont="1" applyFill="1" applyBorder="1" applyAlignment="1" applyProtection="1">
      <alignment horizontal="center" vertical="center" wrapText="1"/>
      <protection hidden="1"/>
    </xf>
    <xf numFmtId="4" fontId="11" fillId="2" borderId="19" xfId="0" applyNumberFormat="1" applyFont="1" applyFill="1" applyBorder="1" applyAlignment="1" applyProtection="1">
      <alignment horizontal="center" vertical="center" wrapText="1"/>
      <protection hidden="1"/>
    </xf>
    <xf numFmtId="4" fontId="11" fillId="2" borderId="20" xfId="0" applyNumberFormat="1" applyFont="1" applyFill="1" applyBorder="1" applyAlignment="1" applyProtection="1">
      <alignment horizontal="center" vertical="center" wrapText="1"/>
      <protection hidden="1"/>
    </xf>
    <xf numFmtId="4" fontId="11" fillId="2" borderId="21" xfId="0" applyNumberFormat="1" applyFont="1" applyFill="1" applyBorder="1" applyAlignment="1" applyProtection="1">
      <alignment horizontal="center" vertical="center" wrapText="1"/>
      <protection hidden="1"/>
    </xf>
    <xf numFmtId="4" fontId="11" fillId="2" borderId="3" xfId="0" applyNumberFormat="1" applyFont="1" applyFill="1" applyBorder="1" applyAlignment="1" applyProtection="1">
      <alignment horizontal="center" vertical="center" wrapText="1"/>
      <protection hidden="1"/>
    </xf>
    <xf numFmtId="4" fontId="11" fillId="2" borderId="29" xfId="0" applyNumberFormat="1" applyFont="1" applyFill="1" applyBorder="1" applyAlignment="1" applyProtection="1">
      <alignment horizontal="center" vertical="center" wrapText="1"/>
      <protection hidden="1"/>
    </xf>
    <xf numFmtId="166" fontId="11" fillId="2" borderId="62" xfId="0" applyNumberFormat="1" applyFont="1" applyFill="1" applyBorder="1" applyAlignment="1" applyProtection="1">
      <alignment horizontal="center" vertical="center" wrapText="1"/>
      <protection hidden="1"/>
    </xf>
    <xf numFmtId="4" fontId="33" fillId="2" borderId="26" xfId="0" applyNumberFormat="1" applyFont="1" applyFill="1" applyBorder="1" applyAlignment="1" applyProtection="1">
      <alignment horizontal="center" vertical="center" wrapText="1"/>
      <protection hidden="1"/>
    </xf>
    <xf numFmtId="4" fontId="33" fillId="2" borderId="26" xfId="0" applyNumberFormat="1" applyFont="1" applyFill="1" applyBorder="1" applyAlignment="1" applyProtection="1">
      <alignment horizontal="right" vertical="center" wrapText="1"/>
      <protection hidden="1"/>
    </xf>
    <xf numFmtId="4" fontId="33" fillId="2" borderId="30" xfId="0" applyNumberFormat="1" applyFont="1" applyFill="1" applyBorder="1" applyAlignment="1" applyProtection="1">
      <alignment horizontal="center" vertical="center" wrapText="1"/>
      <protection hidden="1"/>
    </xf>
    <xf numFmtId="4" fontId="33" fillId="2" borderId="30" xfId="0" applyNumberFormat="1" applyFont="1" applyFill="1" applyBorder="1" applyAlignment="1" applyProtection="1">
      <alignment horizontal="right" vertical="center" wrapText="1"/>
      <protection hidden="1"/>
    </xf>
    <xf numFmtId="4" fontId="32" fillId="2" borderId="6" xfId="0" applyNumberFormat="1" applyFont="1" applyFill="1" applyBorder="1" applyAlignment="1">
      <alignment horizontal="center" vertical="center" wrapText="1"/>
    </xf>
    <xf numFmtId="4" fontId="32" fillId="2" borderId="83" xfId="0" applyNumberFormat="1" applyFont="1" applyFill="1" applyBorder="1" applyAlignment="1">
      <alignment horizontal="center" vertical="center" wrapText="1"/>
    </xf>
    <xf numFmtId="4" fontId="32" fillId="2" borderId="38" xfId="0" applyNumberFormat="1" applyFont="1" applyFill="1" applyBorder="1" applyAlignment="1">
      <alignment horizontal="center" vertical="center" wrapText="1"/>
    </xf>
    <xf numFmtId="4" fontId="32" fillId="2" borderId="31" xfId="0" applyNumberFormat="1" applyFont="1" applyFill="1" applyBorder="1" applyAlignment="1">
      <alignment horizontal="center" vertical="center" wrapText="1"/>
    </xf>
    <xf numFmtId="4" fontId="32" fillId="2" borderId="32" xfId="0" applyNumberFormat="1" applyFont="1" applyFill="1" applyBorder="1" applyAlignment="1">
      <alignment horizontal="center" vertical="center" wrapText="1"/>
    </xf>
    <xf numFmtId="4" fontId="32" fillId="2" borderId="30" xfId="0" applyNumberFormat="1" applyFont="1" applyFill="1" applyBorder="1" applyAlignment="1">
      <alignment horizontal="center" vertical="center" wrapText="1"/>
    </xf>
    <xf numFmtId="4" fontId="32" fillId="2" borderId="84" xfId="0" applyNumberFormat="1" applyFont="1" applyFill="1" applyBorder="1" applyAlignment="1">
      <alignment horizontal="center" vertical="center" wrapText="1"/>
    </xf>
    <xf numFmtId="0" fontId="36" fillId="0" borderId="0" xfId="0" applyFont="1" applyAlignment="1">
      <alignment wrapText="1"/>
    </xf>
    <xf numFmtId="0" fontId="36" fillId="0" borderId="0" xfId="0" applyFont="1"/>
    <xf numFmtId="0" fontId="10" fillId="3" borderId="17" xfId="0" applyFont="1" applyFill="1" applyBorder="1"/>
    <xf numFmtId="4" fontId="10" fillId="3" borderId="17" xfId="0" applyNumberFormat="1" applyFont="1" applyFill="1" applyBorder="1"/>
    <xf numFmtId="0" fontId="10" fillId="0" borderId="0" xfId="3"/>
    <xf numFmtId="4" fontId="10" fillId="0" borderId="0" xfId="3" applyNumberFormat="1"/>
    <xf numFmtId="0" fontId="18" fillId="0" borderId="0" xfId="0" applyFont="1" applyAlignment="1">
      <alignment horizontal="center" vertical="center" wrapText="1"/>
    </xf>
    <xf numFmtId="0" fontId="15" fillId="0" borderId="0" xfId="3" applyFont="1" applyAlignment="1">
      <alignment wrapText="1"/>
    </xf>
    <xf numFmtId="0" fontId="16" fillId="2" borderId="10" xfId="3" applyFont="1" applyFill="1" applyBorder="1" applyAlignment="1">
      <alignment horizontal="center" vertical="center"/>
    </xf>
    <xf numFmtId="0" fontId="16" fillId="2" borderId="11" xfId="3" applyFont="1" applyFill="1" applyBorder="1" applyAlignment="1">
      <alignment horizontal="center" vertical="center"/>
    </xf>
    <xf numFmtId="4" fontId="17" fillId="2" borderId="11" xfId="3" applyNumberFormat="1" applyFont="1" applyFill="1" applyBorder="1" applyAlignment="1" applyProtection="1">
      <alignment horizontal="center" vertical="center"/>
      <protection locked="0"/>
    </xf>
    <xf numFmtId="0" fontId="17" fillId="2" borderId="12" xfId="3" applyFont="1" applyFill="1" applyBorder="1" applyAlignment="1">
      <alignment horizontal="center" vertical="center"/>
    </xf>
    <xf numFmtId="0" fontId="16" fillId="2" borderId="46" xfId="3" applyFont="1" applyFill="1" applyBorder="1" applyAlignment="1">
      <alignment horizontal="center" vertical="center" wrapText="1"/>
    </xf>
    <xf numFmtId="0" fontId="16" fillId="2" borderId="47" xfId="3" applyFont="1" applyFill="1" applyBorder="1" applyAlignment="1">
      <alignment horizontal="center" vertical="center" wrapText="1"/>
    </xf>
    <xf numFmtId="4" fontId="16" fillId="2" borderId="47" xfId="3" applyNumberFormat="1" applyFont="1" applyFill="1" applyBorder="1" applyAlignment="1">
      <alignment horizontal="center" vertical="center"/>
    </xf>
    <xf numFmtId="0" fontId="18" fillId="2" borderId="48" xfId="3" applyFont="1" applyFill="1" applyBorder="1" applyAlignment="1">
      <alignment horizontal="center" vertical="center"/>
    </xf>
    <xf numFmtId="0" fontId="18" fillId="2" borderId="36" xfId="3" applyFont="1" applyFill="1" applyBorder="1" applyAlignment="1">
      <alignment horizontal="center" vertical="center" wrapText="1"/>
    </xf>
    <xf numFmtId="0" fontId="18" fillId="2" borderId="37" xfId="3" applyFont="1" applyFill="1" applyBorder="1" applyAlignment="1">
      <alignment vertical="center" wrapText="1"/>
    </xf>
    <xf numFmtId="4" fontId="18" fillId="2" borderId="37" xfId="3" applyNumberFormat="1" applyFont="1" applyFill="1" applyBorder="1" applyAlignment="1">
      <alignment horizontal="center" vertical="center"/>
    </xf>
    <xf numFmtId="0" fontId="16" fillId="2" borderId="14" xfId="3" applyFont="1" applyFill="1" applyBorder="1" applyAlignment="1">
      <alignment horizontal="left" vertical="center" wrapText="1"/>
    </xf>
    <xf numFmtId="0" fontId="18" fillId="2" borderId="17" xfId="3" applyFont="1" applyFill="1" applyBorder="1" applyAlignment="1">
      <alignment horizontal="left" vertical="center" wrapText="1"/>
    </xf>
    <xf numFmtId="4" fontId="30" fillId="0" borderId="0" xfId="0" applyNumberFormat="1" applyFont="1" applyAlignment="1">
      <alignment wrapText="1"/>
    </xf>
    <xf numFmtId="0" fontId="30" fillId="0" borderId="0" xfId="0" applyFont="1" applyAlignment="1">
      <alignment wrapText="1"/>
    </xf>
    <xf numFmtId="0" fontId="18" fillId="2" borderId="20" xfId="3" applyFont="1" applyFill="1" applyBorder="1" applyAlignment="1">
      <alignment horizontal="left" vertical="center" wrapText="1"/>
    </xf>
    <xf numFmtId="168" fontId="30" fillId="0" borderId="0" xfId="0" applyNumberFormat="1" applyFont="1"/>
    <xf numFmtId="0" fontId="16" fillId="2" borderId="38" xfId="3" applyFont="1" applyFill="1" applyBorder="1" applyAlignment="1">
      <alignment horizontal="center" vertical="center" wrapText="1"/>
    </xf>
    <xf numFmtId="0" fontId="16" fillId="2" borderId="31" xfId="3" applyFont="1" applyFill="1" applyBorder="1" applyAlignment="1">
      <alignment horizontal="left" vertical="center" wrapText="1"/>
    </xf>
    <xf numFmtId="4" fontId="16" fillId="2" borderId="31" xfId="3" applyNumberFormat="1" applyFont="1" applyFill="1" applyBorder="1" applyAlignment="1">
      <alignment horizontal="center" vertical="center"/>
    </xf>
    <xf numFmtId="0" fontId="16" fillId="2" borderId="17" xfId="3" applyFont="1" applyFill="1" applyBorder="1" applyAlignment="1">
      <alignment horizontal="center" vertical="center" wrapText="1"/>
    </xf>
    <xf numFmtId="4" fontId="16" fillId="0" borderId="47" xfId="3" applyNumberFormat="1" applyFont="1" applyBorder="1" applyAlignment="1">
      <alignment horizontal="center" vertical="center"/>
    </xf>
    <xf numFmtId="0" fontId="30" fillId="0" borderId="0" xfId="0" applyFont="1" applyAlignment="1">
      <alignment vertical="center" wrapText="1"/>
    </xf>
    <xf numFmtId="0" fontId="30" fillId="0" borderId="0" xfId="0" applyFont="1" applyAlignment="1">
      <alignment horizontal="center" vertical="center" wrapText="1"/>
    </xf>
    <xf numFmtId="165" fontId="16" fillId="2" borderId="31" xfId="3" applyNumberFormat="1" applyFont="1" applyFill="1" applyBorder="1" applyAlignment="1">
      <alignment horizontal="center" vertical="center"/>
    </xf>
    <xf numFmtId="0" fontId="18" fillId="2" borderId="38" xfId="3" applyFont="1" applyFill="1" applyBorder="1" applyAlignment="1">
      <alignment horizontal="center" vertical="center" wrapText="1"/>
    </xf>
    <xf numFmtId="0" fontId="18" fillId="2" borderId="31" xfId="3" applyFont="1" applyFill="1" applyBorder="1" applyAlignment="1">
      <alignment vertical="center" wrapText="1"/>
    </xf>
    <xf numFmtId="0" fontId="37" fillId="0" borderId="0" xfId="0" applyFont="1"/>
    <xf numFmtId="0" fontId="14" fillId="0" borderId="0" xfId="0" applyFont="1"/>
    <xf numFmtId="0" fontId="15" fillId="0" borderId="0" xfId="0" applyFont="1" applyAlignment="1" applyProtection="1">
      <alignment vertical="center"/>
      <protection hidden="1"/>
    </xf>
    <xf numFmtId="169" fontId="14" fillId="0" borderId="0" xfId="1" applyFont="1"/>
    <xf numFmtId="0" fontId="17" fillId="3" borderId="1" xfId="0" applyFont="1" applyFill="1" applyBorder="1" applyAlignment="1">
      <alignment horizontal="center" vertical="center"/>
    </xf>
    <xf numFmtId="0" fontId="17" fillId="3" borderId="39" xfId="0" applyFont="1" applyFill="1" applyBorder="1" applyAlignment="1">
      <alignment horizontal="center" vertical="center" wrapText="1"/>
    </xf>
    <xf numFmtId="4" fontId="17" fillId="3" borderId="39" xfId="0" applyNumberFormat="1" applyFont="1" applyFill="1" applyBorder="1" applyAlignment="1">
      <alignment horizontal="center" vertical="center" wrapText="1"/>
    </xf>
    <xf numFmtId="4" fontId="17" fillId="3" borderId="1" xfId="0" applyNumberFormat="1" applyFont="1" applyFill="1" applyBorder="1" applyAlignment="1">
      <alignment horizontal="center" vertical="center" wrapText="1"/>
    </xf>
    <xf numFmtId="4" fontId="22" fillId="3" borderId="7" xfId="0" applyNumberFormat="1" applyFont="1" applyFill="1" applyBorder="1" applyAlignment="1">
      <alignment horizontal="center" vertical="center" wrapText="1"/>
    </xf>
    <xf numFmtId="4" fontId="22" fillId="3" borderId="8" xfId="0" applyNumberFormat="1" applyFont="1" applyFill="1" applyBorder="1" applyAlignment="1">
      <alignment horizontal="center" vertical="center" wrapText="1"/>
    </xf>
    <xf numFmtId="4" fontId="22" fillId="3" borderId="9" xfId="0" applyNumberFormat="1" applyFont="1" applyFill="1" applyBorder="1" applyAlignment="1">
      <alignment horizontal="center" vertical="center" wrapText="1"/>
    </xf>
    <xf numFmtId="4" fontId="17" fillId="3" borderId="40" xfId="0" applyNumberFormat="1" applyFont="1" applyFill="1" applyBorder="1" applyAlignment="1">
      <alignment horizontal="center" vertical="center" wrapText="1"/>
    </xf>
    <xf numFmtId="4" fontId="22" fillId="3" borderId="107" xfId="0" applyNumberFormat="1" applyFont="1" applyFill="1" applyBorder="1" applyAlignment="1">
      <alignment horizontal="center" vertical="center" wrapText="1"/>
    </xf>
    <xf numFmtId="4" fontId="22" fillId="3" borderId="8" xfId="0" applyNumberFormat="1" applyFont="1" applyFill="1" applyBorder="1" applyAlignment="1" applyProtection="1">
      <alignment horizontal="center" vertical="center" wrapText="1"/>
      <protection hidden="1"/>
    </xf>
    <xf numFmtId="4" fontId="22" fillId="3" borderId="41" xfId="0" applyNumberFormat="1" applyFont="1" applyFill="1" applyBorder="1" applyAlignment="1" applyProtection="1">
      <alignment horizontal="center" vertical="center" wrapText="1"/>
      <protection hidden="1"/>
    </xf>
    <xf numFmtId="4" fontId="6" fillId="3" borderId="40" xfId="0" applyNumberFormat="1" applyFont="1" applyFill="1" applyBorder="1" applyAlignment="1">
      <alignment horizontal="center" vertical="center" wrapText="1"/>
    </xf>
    <xf numFmtId="0" fontId="17" fillId="3" borderId="43" xfId="0" applyFont="1" applyFill="1" applyBorder="1" applyAlignment="1">
      <alignment horizontal="center" vertical="center"/>
    </xf>
    <xf numFmtId="4" fontId="17" fillId="2" borderId="43" xfId="0" applyNumberFormat="1" applyFont="1" applyFill="1" applyBorder="1" applyAlignment="1" applyProtection="1">
      <alignment horizontal="center" vertical="center" wrapText="1"/>
      <protection hidden="1"/>
    </xf>
    <xf numFmtId="4" fontId="17" fillId="2" borderId="45" xfId="0" applyNumberFormat="1" applyFont="1" applyFill="1" applyBorder="1" applyAlignment="1" applyProtection="1">
      <alignment horizontal="center" vertical="center" wrapText="1"/>
      <protection hidden="1"/>
    </xf>
    <xf numFmtId="4" fontId="17" fillId="2" borderId="46" xfId="0" applyNumberFormat="1" applyFont="1" applyFill="1" applyBorder="1" applyAlignment="1" applyProtection="1">
      <alignment horizontal="center" vertical="center" wrapText="1"/>
      <protection hidden="1"/>
    </xf>
    <xf numFmtId="4" fontId="17" fillId="2" borderId="47" xfId="0" applyNumberFormat="1" applyFont="1" applyFill="1" applyBorder="1" applyAlignment="1" applyProtection="1">
      <alignment horizontal="center" vertical="center" wrapText="1"/>
      <protection hidden="1"/>
    </xf>
    <xf numFmtId="4" fontId="17" fillId="2" borderId="48" xfId="0" applyNumberFormat="1" applyFont="1" applyFill="1" applyBorder="1" applyAlignment="1" applyProtection="1">
      <alignment horizontal="center" vertical="center" wrapText="1"/>
      <protection hidden="1"/>
    </xf>
    <xf numFmtId="4" fontId="17" fillId="2" borderId="49" xfId="0" applyNumberFormat="1" applyFont="1" applyFill="1" applyBorder="1" applyAlignment="1" applyProtection="1">
      <alignment horizontal="center" vertical="center" wrapText="1"/>
      <protection hidden="1"/>
    </xf>
    <xf numFmtId="4" fontId="6" fillId="2" borderId="45" xfId="0" applyNumberFormat="1" applyFont="1" applyFill="1" applyBorder="1" applyAlignment="1" applyProtection="1">
      <alignment horizontal="center" vertical="center" wrapText="1"/>
      <protection hidden="1"/>
    </xf>
    <xf numFmtId="4" fontId="14" fillId="0" borderId="0" xfId="0" applyNumberFormat="1" applyFont="1"/>
    <xf numFmtId="0" fontId="17" fillId="3" borderId="5" xfId="0" applyFont="1" applyFill="1" applyBorder="1" applyAlignment="1">
      <alignment horizontal="center" vertical="center"/>
    </xf>
    <xf numFmtId="0" fontId="17" fillId="3" borderId="37" xfId="0" applyFont="1" applyFill="1" applyBorder="1" applyAlignment="1">
      <alignment horizontal="center" vertical="center" wrapText="1"/>
    </xf>
    <xf numFmtId="4" fontId="17" fillId="2" borderId="5" xfId="0" applyNumberFormat="1" applyFont="1" applyFill="1" applyBorder="1" applyAlignment="1" applyProtection="1">
      <alignment horizontal="center" vertical="center" wrapText="1"/>
      <protection hidden="1"/>
    </xf>
    <xf numFmtId="4" fontId="17" fillId="2" borderId="51" xfId="0" applyNumberFormat="1" applyFont="1" applyFill="1" applyBorder="1" applyAlignment="1" applyProtection="1">
      <alignment horizontal="center" vertical="center" wrapText="1"/>
      <protection hidden="1"/>
    </xf>
    <xf numFmtId="4" fontId="17" fillId="2" borderId="36" xfId="0" applyNumberFormat="1" applyFont="1" applyFill="1" applyBorder="1" applyAlignment="1" applyProtection="1">
      <alignment horizontal="center" vertical="center" wrapText="1"/>
      <protection hidden="1"/>
    </xf>
    <xf numFmtId="4" fontId="17" fillId="2" borderId="37" xfId="0" applyNumberFormat="1" applyFont="1" applyFill="1" applyBorder="1" applyAlignment="1" applyProtection="1">
      <alignment horizontal="center" vertical="center" wrapText="1"/>
      <protection hidden="1"/>
    </xf>
    <xf numFmtId="4" fontId="17" fillId="2" borderId="28" xfId="0" applyNumberFormat="1" applyFont="1" applyFill="1" applyBorder="1" applyAlignment="1" applyProtection="1">
      <alignment horizontal="center" vertical="center" wrapText="1"/>
      <protection hidden="1"/>
    </xf>
    <xf numFmtId="4" fontId="17" fillId="2" borderId="52" xfId="0" applyNumberFormat="1" applyFont="1" applyFill="1" applyBorder="1" applyAlignment="1" applyProtection="1">
      <alignment horizontal="center" vertical="center" wrapText="1"/>
      <protection hidden="1"/>
    </xf>
    <xf numFmtId="4" fontId="6" fillId="2" borderId="51" xfId="0" applyNumberFormat="1" applyFont="1" applyFill="1" applyBorder="1" applyAlignment="1" applyProtection="1">
      <alignment horizontal="center" vertical="center" wrapText="1"/>
      <protection hidden="1"/>
    </xf>
    <xf numFmtId="0" fontId="22" fillId="3" borderId="5" xfId="0" applyFont="1" applyFill="1" applyBorder="1" applyAlignment="1">
      <alignment horizontal="center" vertical="center"/>
    </xf>
    <xf numFmtId="0" fontId="22" fillId="3" borderId="17" xfId="0" applyFont="1" applyFill="1" applyBorder="1" applyAlignment="1">
      <alignment horizontal="right" vertical="center" wrapText="1"/>
    </xf>
    <xf numFmtId="4" fontId="9" fillId="2" borderId="36" xfId="0" applyNumberFormat="1" applyFont="1" applyFill="1" applyBorder="1" applyAlignment="1" applyProtection="1">
      <alignment horizontal="center" vertical="center" wrapText="1"/>
      <protection hidden="1"/>
    </xf>
    <xf numFmtId="4" fontId="9" fillId="2" borderId="37" xfId="0" applyNumberFormat="1" applyFont="1" applyFill="1" applyBorder="1" applyAlignment="1" applyProtection="1">
      <alignment horizontal="center" vertical="center" wrapText="1"/>
      <protection hidden="1"/>
    </xf>
    <xf numFmtId="4" fontId="9" fillId="2" borderId="28" xfId="0" applyNumberFormat="1" applyFont="1" applyFill="1" applyBorder="1" applyAlignment="1" applyProtection="1">
      <alignment horizontal="center" vertical="center" wrapText="1"/>
      <protection hidden="1"/>
    </xf>
    <xf numFmtId="4" fontId="9" fillId="2" borderId="52" xfId="0" applyNumberFormat="1" applyFont="1" applyFill="1" applyBorder="1" applyAlignment="1" applyProtection="1">
      <alignment horizontal="center" vertical="center" wrapText="1"/>
      <protection hidden="1"/>
    </xf>
    <xf numFmtId="4" fontId="9" fillId="2" borderId="5" xfId="0" applyNumberFormat="1" applyFont="1" applyFill="1" applyBorder="1" applyAlignment="1" applyProtection="1">
      <alignment horizontal="center" vertical="center" wrapText="1"/>
      <protection hidden="1"/>
    </xf>
    <xf numFmtId="4" fontId="7" fillId="2" borderId="51" xfId="0" applyNumberFormat="1" applyFont="1" applyFill="1" applyBorder="1" applyAlignment="1" applyProtection="1">
      <alignment horizontal="center" vertical="center" wrapText="1"/>
      <protection hidden="1"/>
    </xf>
    <xf numFmtId="0" fontId="17" fillId="3" borderId="17" xfId="0" applyFont="1" applyFill="1" applyBorder="1" applyAlignment="1">
      <alignment horizontal="center" vertical="center" wrapText="1"/>
    </xf>
    <xf numFmtId="0" fontId="17" fillId="3" borderId="17" xfId="0" applyFont="1" applyFill="1" applyBorder="1" applyAlignment="1">
      <alignment horizontal="center" wrapText="1"/>
    </xf>
    <xf numFmtId="0" fontId="22" fillId="3" borderId="17" xfId="0" applyFont="1" applyFill="1" applyBorder="1" applyAlignment="1">
      <alignment horizontal="right" wrapText="1"/>
    </xf>
    <xf numFmtId="4" fontId="17" fillId="2" borderId="51" xfId="0" applyNumberFormat="1" applyFont="1" applyFill="1" applyBorder="1" applyAlignment="1" applyProtection="1">
      <alignment horizontal="center" vertical="center"/>
      <protection hidden="1"/>
    </xf>
    <xf numFmtId="4" fontId="9" fillId="2" borderId="36" xfId="0" applyNumberFormat="1" applyFont="1" applyFill="1" applyBorder="1" applyAlignment="1" applyProtection="1">
      <alignment horizontal="center" vertical="center"/>
      <protection hidden="1"/>
    </xf>
    <xf numFmtId="4" fontId="9" fillId="2" borderId="37" xfId="0" applyNumberFormat="1" applyFont="1" applyFill="1" applyBorder="1" applyAlignment="1" applyProtection="1">
      <alignment horizontal="center" vertical="center"/>
      <protection hidden="1"/>
    </xf>
    <xf numFmtId="4" fontId="9" fillId="2" borderId="28" xfId="0" applyNumberFormat="1" applyFont="1" applyFill="1" applyBorder="1" applyAlignment="1" applyProtection="1">
      <alignment horizontal="center" vertical="center"/>
      <protection hidden="1"/>
    </xf>
    <xf numFmtId="4" fontId="17" fillId="2" borderId="5" xfId="0" applyNumberFormat="1" applyFont="1" applyFill="1" applyBorder="1" applyAlignment="1" applyProtection="1">
      <alignment horizontal="center" vertical="center"/>
      <protection hidden="1"/>
    </xf>
    <xf numFmtId="4" fontId="9" fillId="2" borderId="52" xfId="0" applyNumberFormat="1" applyFont="1" applyFill="1" applyBorder="1" applyAlignment="1" applyProtection="1">
      <alignment horizontal="center" vertical="center"/>
      <protection hidden="1"/>
    </xf>
    <xf numFmtId="4" fontId="7" fillId="2" borderId="51" xfId="0" applyNumberFormat="1" applyFont="1" applyFill="1" applyBorder="1" applyAlignment="1" applyProtection="1">
      <alignment horizontal="center" vertical="center"/>
      <protection hidden="1"/>
    </xf>
    <xf numFmtId="0" fontId="22" fillId="3" borderId="20" xfId="0" applyFont="1" applyFill="1" applyBorder="1" applyAlignment="1">
      <alignment horizontal="right" wrapText="1"/>
    </xf>
    <xf numFmtId="0" fontId="22" fillId="3" borderId="20" xfId="0" applyFont="1" applyFill="1" applyBorder="1" applyAlignment="1">
      <alignment horizontal="left" wrapText="1"/>
    </xf>
    <xf numFmtId="0" fontId="17" fillId="3" borderId="20" xfId="0" applyFont="1" applyFill="1" applyBorder="1" applyAlignment="1">
      <alignment horizontal="center" wrapText="1"/>
    </xf>
    <xf numFmtId="4" fontId="17" fillId="2" borderId="2" xfId="0" applyNumberFormat="1" applyFont="1" applyFill="1" applyBorder="1" applyAlignment="1" applyProtection="1">
      <alignment horizontal="center" vertical="center" wrapText="1"/>
      <protection hidden="1"/>
    </xf>
    <xf numFmtId="4" fontId="17" fillId="2" borderId="57" xfId="0" applyNumberFormat="1" applyFont="1" applyFill="1" applyBorder="1" applyAlignment="1" applyProtection="1">
      <alignment horizontal="center" vertical="center"/>
      <protection hidden="1"/>
    </xf>
    <xf numFmtId="4" fontId="17" fillId="2" borderId="16" xfId="0" applyNumberFormat="1" applyFont="1" applyFill="1" applyBorder="1" applyAlignment="1" applyProtection="1">
      <alignment horizontal="center" vertical="center"/>
      <protection hidden="1"/>
    </xf>
    <xf numFmtId="4" fontId="17" fillId="2" borderId="17" xfId="0" applyNumberFormat="1" applyFont="1" applyFill="1" applyBorder="1" applyAlignment="1" applyProtection="1">
      <alignment horizontal="center" vertical="center"/>
      <protection hidden="1"/>
    </xf>
    <xf numFmtId="4" fontId="17" fillId="2" borderId="18" xfId="0" applyNumberFormat="1" applyFont="1" applyFill="1" applyBorder="1" applyAlignment="1" applyProtection="1">
      <alignment horizontal="center" vertical="center"/>
      <protection hidden="1"/>
    </xf>
    <xf numFmtId="4" fontId="17" fillId="2" borderId="2" xfId="0" applyNumberFormat="1" applyFont="1" applyFill="1" applyBorder="1" applyAlignment="1" applyProtection="1">
      <alignment horizontal="center" vertical="center"/>
      <protection hidden="1"/>
    </xf>
    <xf numFmtId="4" fontId="17" fillId="2" borderId="58" xfId="0" applyNumberFormat="1" applyFont="1" applyFill="1" applyBorder="1" applyAlignment="1" applyProtection="1">
      <alignment horizontal="center" vertical="center"/>
      <protection hidden="1"/>
    </xf>
    <xf numFmtId="4" fontId="6" fillId="2" borderId="57" xfId="0" applyNumberFormat="1" applyFont="1" applyFill="1" applyBorder="1" applyAlignment="1" applyProtection="1">
      <alignment horizontal="center" vertical="center"/>
      <protection hidden="1"/>
    </xf>
    <xf numFmtId="0" fontId="22" fillId="3" borderId="3" xfId="0" applyFont="1" applyFill="1" applyBorder="1" applyAlignment="1">
      <alignment horizontal="center" vertical="center"/>
    </xf>
    <xf numFmtId="0" fontId="22" fillId="3" borderId="3" xfId="0" applyFont="1" applyFill="1" applyBorder="1" applyAlignment="1">
      <alignment horizontal="right" wrapText="1"/>
    </xf>
    <xf numFmtId="4" fontId="17" fillId="2" borderId="3" xfId="0" applyNumberFormat="1" applyFont="1" applyFill="1" applyBorder="1" applyAlignment="1" applyProtection="1">
      <alignment horizontal="center" vertical="center" wrapText="1"/>
      <protection hidden="1"/>
    </xf>
    <xf numFmtId="4" fontId="17" fillId="2" borderId="61" xfId="0" applyNumberFormat="1" applyFont="1" applyFill="1" applyBorder="1" applyAlignment="1" applyProtection="1">
      <alignment horizontal="center" vertical="center"/>
      <protection hidden="1"/>
    </xf>
    <xf numFmtId="4" fontId="9" fillId="2" borderId="19" xfId="0" applyNumberFormat="1" applyFont="1" applyFill="1" applyBorder="1" applyAlignment="1" applyProtection="1">
      <alignment horizontal="center" vertical="center"/>
      <protection hidden="1"/>
    </xf>
    <xf numFmtId="4" fontId="9" fillId="2" borderId="20" xfId="0" applyNumberFormat="1" applyFont="1" applyFill="1" applyBorder="1" applyAlignment="1" applyProtection="1">
      <alignment horizontal="center" vertical="center"/>
      <protection hidden="1"/>
    </xf>
    <xf numFmtId="4" fontId="9" fillId="2" borderId="21" xfId="0" applyNumberFormat="1" applyFont="1" applyFill="1" applyBorder="1" applyAlignment="1" applyProtection="1">
      <alignment horizontal="center" vertical="center"/>
      <protection hidden="1"/>
    </xf>
    <xf numFmtId="4" fontId="9" fillId="2" borderId="62" xfId="0" applyNumberFormat="1" applyFont="1" applyFill="1" applyBorder="1" applyAlignment="1" applyProtection="1">
      <alignment horizontal="center" vertical="center"/>
      <protection hidden="1"/>
    </xf>
    <xf numFmtId="4" fontId="9" fillId="2" borderId="59" xfId="0" applyNumberFormat="1" applyFont="1" applyFill="1" applyBorder="1" applyAlignment="1" applyProtection="1">
      <alignment horizontal="center" vertical="center"/>
      <protection hidden="1"/>
    </xf>
    <xf numFmtId="4" fontId="7" fillId="2" borderId="61" xfId="0" applyNumberFormat="1" applyFont="1" applyFill="1" applyBorder="1" applyAlignment="1" applyProtection="1">
      <alignment horizontal="center" vertical="center"/>
      <protection hidden="1"/>
    </xf>
    <xf numFmtId="0" fontId="22" fillId="3" borderId="2" xfId="0" applyFont="1" applyFill="1" applyBorder="1" applyAlignment="1">
      <alignment horizontal="right" wrapText="1"/>
    </xf>
    <xf numFmtId="4" fontId="9" fillId="2" borderId="58" xfId="0" applyNumberFormat="1" applyFont="1" applyFill="1" applyBorder="1" applyAlignment="1" applyProtection="1">
      <alignment horizontal="center" vertical="center"/>
      <protection hidden="1"/>
    </xf>
    <xf numFmtId="4" fontId="7" fillId="2" borderId="57" xfId="0" applyNumberFormat="1" applyFont="1" applyFill="1" applyBorder="1" applyAlignment="1" applyProtection="1">
      <alignment horizontal="center" vertical="center"/>
      <protection hidden="1"/>
    </xf>
    <xf numFmtId="0" fontId="17" fillId="3" borderId="2" xfId="0" applyFont="1" applyFill="1" applyBorder="1" applyAlignment="1">
      <alignment horizontal="center" vertical="center"/>
    </xf>
    <xf numFmtId="0" fontId="17" fillId="3" borderId="2" xfId="0" applyFont="1" applyFill="1" applyBorder="1" applyAlignment="1">
      <alignment horizontal="center" wrapText="1"/>
    </xf>
    <xf numFmtId="0" fontId="22" fillId="3" borderId="2" xfId="0" applyFont="1" applyFill="1" applyBorder="1" applyAlignment="1">
      <alignment horizontal="center" vertical="center"/>
    </xf>
    <xf numFmtId="0" fontId="22" fillId="0" borderId="2" xfId="0" applyFont="1" applyBorder="1" applyAlignment="1" applyProtection="1">
      <alignment horizontal="right" wrapText="1"/>
      <protection locked="0"/>
    </xf>
    <xf numFmtId="0" fontId="22" fillId="3" borderId="59" xfId="0" applyFont="1" applyFill="1" applyBorder="1" applyAlignment="1">
      <alignment horizontal="center" vertical="center"/>
    </xf>
    <xf numFmtId="0" fontId="22" fillId="0" borderId="59" xfId="0" applyFont="1" applyBorder="1" applyAlignment="1" applyProtection="1">
      <alignment horizontal="right" wrapText="1"/>
      <protection locked="0"/>
    </xf>
    <xf numFmtId="4" fontId="17" fillId="2" borderId="59" xfId="0" applyNumberFormat="1" applyFont="1" applyFill="1" applyBorder="1" applyAlignment="1" applyProtection="1">
      <alignment horizontal="center" vertical="center" wrapText="1"/>
      <protection hidden="1"/>
    </xf>
    <xf numFmtId="4" fontId="17" fillId="2" borderId="108" xfId="0" applyNumberFormat="1" applyFont="1" applyFill="1" applyBorder="1" applyAlignment="1" applyProtection="1">
      <alignment horizontal="center" vertical="center"/>
      <protection hidden="1"/>
    </xf>
    <xf numFmtId="4" fontId="9" fillId="2" borderId="22" xfId="0" applyNumberFormat="1" applyFont="1" applyFill="1" applyBorder="1" applyAlignment="1" applyProtection="1">
      <alignment horizontal="center" vertical="center"/>
      <protection hidden="1"/>
    </xf>
    <xf numFmtId="4" fontId="9" fillId="2" borderId="23" xfId="0" applyNumberFormat="1" applyFont="1" applyFill="1" applyBorder="1" applyAlignment="1" applyProtection="1">
      <alignment horizontal="center" vertical="center"/>
      <protection hidden="1"/>
    </xf>
    <xf numFmtId="4" fontId="9" fillId="2" borderId="24" xfId="0" applyNumberFormat="1" applyFont="1" applyFill="1" applyBorder="1" applyAlignment="1" applyProtection="1">
      <alignment horizontal="center" vertical="center"/>
      <protection hidden="1"/>
    </xf>
    <xf numFmtId="4" fontId="17" fillId="2" borderId="59" xfId="0" applyNumberFormat="1" applyFont="1" applyFill="1" applyBorder="1" applyAlignment="1" applyProtection="1">
      <alignment horizontal="center" vertical="center"/>
      <protection hidden="1"/>
    </xf>
    <xf numFmtId="4" fontId="9" fillId="2" borderId="0" xfId="0" applyNumberFormat="1" applyFont="1" applyFill="1" applyAlignment="1" applyProtection="1">
      <alignment horizontal="center" vertical="center"/>
      <protection hidden="1"/>
    </xf>
    <xf numFmtId="4" fontId="7" fillId="2" borderId="108" xfId="0" applyNumberFormat="1" applyFont="1" applyFill="1" applyBorder="1" applyAlignment="1" applyProtection="1">
      <alignment horizontal="center" vertical="center"/>
      <protection hidden="1"/>
    </xf>
    <xf numFmtId="4" fontId="17" fillId="3" borderId="44" xfId="0" applyNumberFormat="1" applyFont="1" applyFill="1" applyBorder="1" applyAlignment="1">
      <alignment horizontal="center" vertical="center" wrapText="1"/>
    </xf>
    <xf numFmtId="4" fontId="17" fillId="3" borderId="43" xfId="0" applyNumberFormat="1" applyFont="1" applyFill="1" applyBorder="1" applyAlignment="1">
      <alignment horizontal="center" vertical="center" wrapText="1"/>
    </xf>
    <xf numFmtId="4" fontId="17" fillId="3" borderId="46" xfId="0" applyNumberFormat="1" applyFont="1" applyFill="1" applyBorder="1" applyAlignment="1">
      <alignment horizontal="center" vertical="center" wrapText="1"/>
    </xf>
    <xf numFmtId="4" fontId="17" fillId="3" borderId="47" xfId="0" applyNumberFormat="1" applyFont="1" applyFill="1" applyBorder="1" applyAlignment="1">
      <alignment horizontal="center" vertical="center" wrapText="1"/>
    </xf>
    <xf numFmtId="4" fontId="17" fillId="3" borderId="109" xfId="0" applyNumberFormat="1" applyFont="1" applyFill="1" applyBorder="1" applyAlignment="1">
      <alignment horizontal="center" vertical="center" wrapText="1"/>
    </xf>
    <xf numFmtId="4" fontId="17" fillId="3" borderId="45" xfId="0" applyNumberFormat="1" applyFont="1" applyFill="1" applyBorder="1" applyAlignment="1">
      <alignment horizontal="center" vertical="center" wrapText="1"/>
    </xf>
    <xf numFmtId="4" fontId="6" fillId="3" borderId="43" xfId="0" applyNumberFormat="1" applyFont="1" applyFill="1" applyBorder="1" applyAlignment="1">
      <alignment horizontal="center" vertical="center" wrapText="1"/>
    </xf>
    <xf numFmtId="4" fontId="17" fillId="3" borderId="26" xfId="0" applyNumberFormat="1" applyFont="1" applyFill="1" applyBorder="1" applyAlignment="1">
      <alignment horizontal="center" vertical="center" wrapText="1"/>
    </xf>
    <xf numFmtId="4" fontId="17" fillId="3" borderId="5" xfId="0" applyNumberFormat="1" applyFont="1" applyFill="1" applyBorder="1" applyAlignment="1">
      <alignment horizontal="center" vertical="center" wrapText="1"/>
    </xf>
    <xf numFmtId="4" fontId="17" fillId="3" borderId="36" xfId="0" applyNumberFormat="1" applyFont="1" applyFill="1" applyBorder="1" applyAlignment="1">
      <alignment horizontal="center" vertical="center" wrapText="1"/>
    </xf>
    <xf numFmtId="4" fontId="17" fillId="3" borderId="37" xfId="0" applyNumberFormat="1" applyFont="1" applyFill="1" applyBorder="1" applyAlignment="1">
      <alignment horizontal="center" vertical="center" wrapText="1"/>
    </xf>
    <xf numFmtId="4" fontId="17" fillId="3" borderId="50" xfId="0" applyNumberFormat="1" applyFont="1" applyFill="1" applyBorder="1" applyAlignment="1">
      <alignment horizontal="center" vertical="center" wrapText="1"/>
    </xf>
    <xf numFmtId="4" fontId="17" fillId="3" borderId="51" xfId="0" applyNumberFormat="1" applyFont="1" applyFill="1" applyBorder="1" applyAlignment="1">
      <alignment horizontal="center" vertical="center" wrapText="1"/>
    </xf>
    <xf numFmtId="4" fontId="6" fillId="3" borderId="5" xfId="0" applyNumberFormat="1" applyFont="1" applyFill="1" applyBorder="1" applyAlignment="1">
      <alignment horizontal="center" vertical="center" wrapText="1"/>
    </xf>
    <xf numFmtId="4" fontId="9" fillId="0" borderId="36" xfId="0" applyNumberFormat="1" applyFont="1" applyBorder="1" applyAlignment="1" applyProtection="1">
      <alignment horizontal="center" vertical="center" wrapText="1"/>
      <protection locked="0"/>
    </xf>
    <xf numFmtId="4" fontId="9" fillId="0" borderId="37" xfId="0" applyNumberFormat="1" applyFont="1" applyBorder="1" applyAlignment="1" applyProtection="1">
      <alignment horizontal="center" vertical="center" wrapText="1"/>
      <protection locked="0"/>
    </xf>
    <xf numFmtId="4" fontId="9" fillId="0" borderId="50" xfId="0" applyNumberFormat="1" applyFont="1" applyBorder="1" applyAlignment="1" applyProtection="1">
      <alignment horizontal="center" vertical="center" wrapText="1"/>
      <protection locked="0"/>
    </xf>
    <xf numFmtId="4" fontId="9" fillId="0" borderId="5" xfId="0" applyNumberFormat="1" applyFont="1" applyBorder="1" applyAlignment="1" applyProtection="1">
      <alignment horizontal="center" vertical="center" wrapText="1"/>
      <protection locked="0"/>
    </xf>
    <xf numFmtId="4" fontId="9" fillId="0" borderId="28" xfId="0" applyNumberFormat="1" applyFont="1" applyBorder="1" applyAlignment="1" applyProtection="1">
      <alignment horizontal="center" vertical="center" wrapText="1"/>
      <protection locked="0"/>
    </xf>
    <xf numFmtId="4" fontId="6" fillId="0" borderId="5" xfId="0" applyNumberFormat="1" applyFont="1" applyBorder="1" applyAlignment="1" applyProtection="1">
      <alignment horizontal="center" vertical="center" wrapText="1"/>
      <protection locked="0"/>
    </xf>
    <xf numFmtId="4" fontId="17" fillId="3" borderId="28" xfId="0" applyNumberFormat="1" applyFont="1" applyFill="1" applyBorder="1" applyAlignment="1">
      <alignment horizontal="center" vertical="center" wrapText="1"/>
    </xf>
    <xf numFmtId="2" fontId="30" fillId="0" borderId="0" xfId="0" applyNumberFormat="1" applyFont="1"/>
    <xf numFmtId="4" fontId="17" fillId="3" borderId="27" xfId="0" applyNumberFormat="1" applyFont="1" applyFill="1" applyBorder="1" applyAlignment="1">
      <alignment horizontal="center" vertical="center" wrapText="1"/>
    </xf>
    <xf numFmtId="4" fontId="17" fillId="3" borderId="2" xfId="0" applyNumberFormat="1" applyFont="1" applyFill="1" applyBorder="1" applyAlignment="1">
      <alignment horizontal="center" vertical="center"/>
    </xf>
    <xf numFmtId="4" fontId="9" fillId="0" borderId="16" xfId="0" applyNumberFormat="1" applyFont="1" applyBorder="1" applyAlignment="1" applyProtection="1">
      <alignment horizontal="center" vertical="center"/>
      <protection locked="0"/>
    </xf>
    <xf numFmtId="4" fontId="9" fillId="0" borderId="17" xfId="0" applyNumberFormat="1" applyFont="1" applyBorder="1" applyAlignment="1" applyProtection="1">
      <alignment horizontal="center" vertical="center"/>
      <protection locked="0"/>
    </xf>
    <xf numFmtId="4" fontId="9" fillId="0" borderId="56" xfId="0" applyNumberFormat="1" applyFont="1" applyBorder="1" applyAlignment="1" applyProtection="1">
      <alignment horizontal="center" vertical="center"/>
      <protection locked="0"/>
    </xf>
    <xf numFmtId="4" fontId="9" fillId="0" borderId="2" xfId="0" applyNumberFormat="1" applyFont="1" applyBorder="1" applyAlignment="1" applyProtection="1">
      <alignment horizontal="center" vertical="center"/>
      <protection locked="0"/>
    </xf>
    <xf numFmtId="4" fontId="17" fillId="3" borderId="57" xfId="0" applyNumberFormat="1" applyFont="1" applyFill="1" applyBorder="1" applyAlignment="1">
      <alignment horizontal="center" vertical="center"/>
    </xf>
    <xf numFmtId="4" fontId="9" fillId="0" borderId="18" xfId="0" applyNumberFormat="1" applyFont="1" applyBorder="1" applyAlignment="1" applyProtection="1">
      <alignment horizontal="center" vertical="center"/>
      <protection locked="0"/>
    </xf>
    <xf numFmtId="4" fontId="17" fillId="3" borderId="16" xfId="0" applyNumberFormat="1" applyFont="1" applyFill="1" applyBorder="1" applyAlignment="1">
      <alignment horizontal="center" vertical="center"/>
    </xf>
    <xf numFmtId="4" fontId="17" fillId="3" borderId="17" xfId="0" applyNumberFormat="1" applyFont="1" applyFill="1" applyBorder="1" applyAlignment="1">
      <alignment horizontal="center" vertical="center"/>
    </xf>
    <xf numFmtId="4" fontId="17" fillId="3" borderId="56" xfId="0" applyNumberFormat="1" applyFont="1" applyFill="1" applyBorder="1" applyAlignment="1">
      <alignment horizontal="center" vertical="center"/>
    </xf>
    <xf numFmtId="4" fontId="17" fillId="3" borderId="18" xfId="0" applyNumberFormat="1" applyFont="1" applyFill="1" applyBorder="1" applyAlignment="1">
      <alignment horizontal="center" vertical="center"/>
    </xf>
    <xf numFmtId="4" fontId="6" fillId="3" borderId="2" xfId="0" applyNumberFormat="1" applyFont="1" applyFill="1" applyBorder="1" applyAlignment="1">
      <alignment horizontal="center" vertical="center"/>
    </xf>
    <xf numFmtId="4" fontId="17" fillId="3" borderId="87" xfId="0" applyNumberFormat="1" applyFont="1" applyFill="1" applyBorder="1" applyAlignment="1">
      <alignment horizontal="center" vertical="center" wrapText="1"/>
    </xf>
    <xf numFmtId="4" fontId="17" fillId="3" borderId="59" xfId="0" applyNumberFormat="1" applyFont="1" applyFill="1" applyBorder="1" applyAlignment="1">
      <alignment horizontal="center" vertical="center"/>
    </xf>
    <xf numFmtId="4" fontId="9" fillId="0" borderId="22" xfId="0" applyNumberFormat="1" applyFont="1" applyBorder="1" applyAlignment="1" applyProtection="1">
      <alignment horizontal="center" vertical="center"/>
      <protection locked="0"/>
    </xf>
    <xf numFmtId="4" fontId="9" fillId="0" borderId="23" xfId="0" applyNumberFormat="1" applyFont="1" applyBorder="1" applyAlignment="1" applyProtection="1">
      <alignment horizontal="center" vertical="center"/>
      <protection locked="0"/>
    </xf>
    <xf numFmtId="4" fontId="9" fillId="0" borderId="110" xfId="0" applyNumberFormat="1" applyFont="1" applyBorder="1" applyAlignment="1" applyProtection="1">
      <alignment horizontal="center" vertical="center"/>
      <protection locked="0"/>
    </xf>
    <xf numFmtId="4" fontId="9" fillId="0" borderId="59" xfId="0" applyNumberFormat="1" applyFont="1" applyBorder="1" applyAlignment="1" applyProtection="1">
      <alignment horizontal="center" vertical="center"/>
      <protection locked="0"/>
    </xf>
    <xf numFmtId="4" fontId="17" fillId="3" borderId="108" xfId="0" applyNumberFormat="1" applyFont="1" applyFill="1" applyBorder="1" applyAlignment="1">
      <alignment horizontal="center" vertical="center"/>
    </xf>
    <xf numFmtId="4" fontId="9" fillId="0" borderId="24" xfId="0" applyNumberFormat="1" applyFont="1" applyBorder="1" applyAlignment="1" applyProtection="1">
      <alignment horizontal="center" vertical="center"/>
      <protection locked="0"/>
    </xf>
    <xf numFmtId="4" fontId="6" fillId="0" borderId="59" xfId="0" applyNumberFormat="1" applyFont="1" applyBorder="1" applyAlignment="1" applyProtection="1">
      <alignment horizontal="center" vertical="center" wrapText="1"/>
      <protection locked="0"/>
    </xf>
    <xf numFmtId="0" fontId="17" fillId="2" borderId="43" xfId="0" applyFont="1" applyFill="1" applyBorder="1" applyAlignment="1">
      <alignment horizontal="center" vertical="center"/>
    </xf>
    <xf numFmtId="0" fontId="17" fillId="2" borderId="43" xfId="0" applyFont="1" applyFill="1" applyBorder="1" applyAlignment="1" applyProtection="1">
      <alignment horizontal="center" vertical="center"/>
      <protection hidden="1"/>
    </xf>
    <xf numFmtId="4" fontId="17" fillId="3" borderId="48" xfId="0" applyNumberFormat="1" applyFont="1" applyFill="1" applyBorder="1" applyAlignment="1">
      <alignment horizontal="center" vertical="center" wrapText="1"/>
    </xf>
    <xf numFmtId="0" fontId="17" fillId="2" borderId="5" xfId="0" applyFont="1" applyFill="1" applyBorder="1" applyAlignment="1">
      <alignment horizontal="center" vertical="center"/>
    </xf>
    <xf numFmtId="0" fontId="17" fillId="2" borderId="37" xfId="0" applyFont="1" applyFill="1" applyBorder="1" applyAlignment="1">
      <alignment horizontal="center" vertical="center" wrapText="1"/>
    </xf>
    <xf numFmtId="0" fontId="22" fillId="2" borderId="5" xfId="0" applyFont="1" applyFill="1" applyBorder="1" applyAlignment="1">
      <alignment horizontal="center" vertical="center"/>
    </xf>
    <xf numFmtId="0" fontId="22" fillId="2" borderId="17" xfId="0" applyFont="1" applyFill="1" applyBorder="1" applyAlignment="1">
      <alignment horizontal="right" vertical="center" wrapText="1"/>
    </xf>
    <xf numFmtId="4" fontId="9" fillId="0" borderId="26" xfId="0" applyNumberFormat="1" applyFont="1" applyBorder="1" applyAlignment="1" applyProtection="1">
      <alignment horizontal="center" vertical="center" wrapText="1"/>
      <protection locked="0"/>
    </xf>
    <xf numFmtId="4" fontId="9" fillId="3" borderId="5" xfId="0" applyNumberFormat="1" applyFont="1" applyFill="1" applyBorder="1" applyAlignment="1">
      <alignment horizontal="center" vertical="center" wrapText="1"/>
    </xf>
    <xf numFmtId="4" fontId="9" fillId="3" borderId="36" xfId="0" applyNumberFormat="1" applyFont="1" applyFill="1" applyBorder="1" applyAlignment="1">
      <alignment horizontal="center" vertical="center" wrapText="1"/>
    </xf>
    <xf numFmtId="4" fontId="9" fillId="3" borderId="37" xfId="0" applyNumberFormat="1" applyFont="1" applyFill="1" applyBorder="1" applyAlignment="1">
      <alignment horizontal="center" vertical="center" wrapText="1"/>
    </xf>
    <xf numFmtId="4" fontId="9" fillId="3" borderId="50" xfId="0" applyNumberFormat="1" applyFont="1" applyFill="1" applyBorder="1" applyAlignment="1">
      <alignment horizontal="center" vertical="center" wrapText="1"/>
    </xf>
    <xf numFmtId="4" fontId="9" fillId="3" borderId="51" xfId="0" applyNumberFormat="1" applyFont="1" applyFill="1" applyBorder="1" applyAlignment="1">
      <alignment horizontal="center" vertical="center" wrapText="1"/>
    </xf>
    <xf numFmtId="4" fontId="9" fillId="3" borderId="28" xfId="0" applyNumberFormat="1" applyFont="1" applyFill="1" applyBorder="1" applyAlignment="1">
      <alignment horizontal="center" vertical="center" wrapText="1"/>
    </xf>
    <xf numFmtId="4" fontId="7" fillId="3" borderId="5" xfId="0" applyNumberFormat="1"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7" xfId="0" applyFont="1" applyFill="1" applyBorder="1" applyAlignment="1">
      <alignment horizontal="center" wrapText="1"/>
    </xf>
    <xf numFmtId="0" fontId="22" fillId="2" borderId="17" xfId="0" applyFont="1" applyFill="1" applyBorder="1" applyAlignment="1">
      <alignment horizontal="right" wrapText="1"/>
    </xf>
    <xf numFmtId="0" fontId="22" fillId="2" borderId="5" xfId="0" applyFont="1" applyFill="1" applyBorder="1" applyAlignment="1" applyProtection="1">
      <alignment horizontal="center" vertical="center"/>
      <protection hidden="1"/>
    </xf>
    <xf numFmtId="0" fontId="22" fillId="2" borderId="20" xfId="0" applyFont="1" applyFill="1" applyBorder="1" applyAlignment="1">
      <alignment horizontal="right" wrapText="1"/>
    </xf>
    <xf numFmtId="0" fontId="17" fillId="2" borderId="20" xfId="0" applyFont="1" applyFill="1" applyBorder="1" applyAlignment="1">
      <alignment horizontal="center" wrapText="1"/>
    </xf>
    <xf numFmtId="0" fontId="22" fillId="2" borderId="3" xfId="0" applyFont="1" applyFill="1" applyBorder="1" applyAlignment="1" applyProtection="1">
      <alignment horizontal="center" vertical="center"/>
      <protection hidden="1"/>
    </xf>
    <xf numFmtId="0" fontId="22" fillId="2" borderId="3" xfId="0" applyFont="1" applyFill="1" applyBorder="1" applyAlignment="1">
      <alignment horizontal="right" wrapText="1"/>
    </xf>
    <xf numFmtId="0" fontId="22" fillId="2" borderId="2" xfId="0" applyFont="1" applyFill="1" applyBorder="1" applyAlignment="1">
      <alignment horizontal="right" wrapText="1"/>
    </xf>
    <xf numFmtId="4" fontId="17" fillId="3" borderId="56" xfId="0" applyNumberFormat="1" applyFont="1" applyFill="1" applyBorder="1" applyAlignment="1">
      <alignment horizontal="center" vertical="center" wrapText="1"/>
    </xf>
    <xf numFmtId="4" fontId="17" fillId="3" borderId="2" xfId="0" applyNumberFormat="1" applyFont="1" applyFill="1" applyBorder="1" applyAlignment="1">
      <alignment horizontal="center" vertical="center" wrapText="1"/>
    </xf>
    <xf numFmtId="4" fontId="17" fillId="3" borderId="18" xfId="0" applyNumberFormat="1" applyFont="1" applyFill="1" applyBorder="1" applyAlignment="1">
      <alignment horizontal="center" vertical="center" wrapText="1"/>
    </xf>
    <xf numFmtId="4" fontId="6" fillId="3" borderId="2" xfId="0" applyNumberFormat="1" applyFont="1" applyFill="1" applyBorder="1" applyAlignment="1">
      <alignment horizontal="center" vertical="center" wrapText="1"/>
    </xf>
    <xf numFmtId="0" fontId="22" fillId="3" borderId="6" xfId="0" applyFont="1" applyFill="1" applyBorder="1" applyAlignment="1">
      <alignment horizontal="center" vertical="center"/>
    </xf>
    <xf numFmtId="0" fontId="17" fillId="3" borderId="1" xfId="0" applyFont="1" applyFill="1" applyBorder="1" applyAlignment="1">
      <alignment horizontal="center" vertical="center" wrapText="1"/>
    </xf>
    <xf numFmtId="4" fontId="22" fillId="3" borderId="111" xfId="0" applyNumberFormat="1" applyFont="1" applyFill="1" applyBorder="1" applyAlignment="1">
      <alignment horizontal="center" vertical="center" wrapText="1"/>
    </xf>
    <xf numFmtId="4" fontId="22" fillId="3" borderId="9" xfId="0" applyNumberFormat="1" applyFont="1" applyFill="1" applyBorder="1" applyAlignment="1" applyProtection="1">
      <alignment horizontal="center" vertical="center" wrapText="1"/>
      <protection hidden="1"/>
    </xf>
    <xf numFmtId="0" fontId="9" fillId="3" borderId="26" xfId="0" applyFont="1" applyFill="1" applyBorder="1" applyAlignment="1">
      <alignment horizontal="center" vertical="center"/>
    </xf>
    <xf numFmtId="0" fontId="9" fillId="3" borderId="5" xfId="0" applyFont="1" applyFill="1" applyBorder="1" applyAlignment="1">
      <alignment horizontal="left" vertical="center" wrapText="1"/>
    </xf>
    <xf numFmtId="2" fontId="17" fillId="3" borderId="26" xfId="0" applyNumberFormat="1" applyFont="1" applyFill="1" applyBorder="1" applyAlignment="1">
      <alignment horizontal="center" vertical="center" wrapText="1"/>
    </xf>
    <xf numFmtId="2" fontId="17" fillId="3" borderId="5" xfId="0" applyNumberFormat="1" applyFont="1" applyFill="1" applyBorder="1" applyAlignment="1">
      <alignment horizontal="center" vertical="center"/>
    </xf>
    <xf numFmtId="2" fontId="9" fillId="0" borderId="36" xfId="0" applyNumberFormat="1" applyFont="1" applyBorder="1" applyAlignment="1" applyProtection="1">
      <alignment horizontal="center" vertical="center"/>
      <protection locked="0"/>
    </xf>
    <xf numFmtId="2" fontId="9" fillId="0" borderId="37" xfId="0" applyNumberFormat="1" applyFont="1" applyBorder="1" applyAlignment="1" applyProtection="1">
      <alignment horizontal="center" vertical="center"/>
      <protection locked="0"/>
    </xf>
    <xf numFmtId="2" fontId="9" fillId="0" borderId="50" xfId="0" applyNumberFormat="1" applyFont="1" applyBorder="1" applyAlignment="1" applyProtection="1">
      <alignment horizontal="center" vertical="center"/>
      <protection locked="0"/>
    </xf>
    <xf numFmtId="2" fontId="9" fillId="0" borderId="5" xfId="0" applyNumberFormat="1" applyFont="1" applyBorder="1" applyAlignment="1" applyProtection="1">
      <alignment horizontal="center" vertical="center"/>
      <protection locked="0"/>
    </xf>
    <xf numFmtId="2" fontId="17" fillId="3" borderId="51" xfId="0" applyNumberFormat="1" applyFont="1" applyFill="1" applyBorder="1" applyAlignment="1">
      <alignment horizontal="center" vertical="center"/>
    </xf>
    <xf numFmtId="2" fontId="9" fillId="0" borderId="28" xfId="0" applyNumberFormat="1" applyFont="1" applyBorder="1" applyAlignment="1" applyProtection="1">
      <alignment horizontal="center" vertical="center"/>
      <protection locked="0"/>
    </xf>
    <xf numFmtId="2" fontId="7" fillId="0" borderId="5" xfId="0" applyNumberFormat="1" applyFont="1" applyBorder="1" applyAlignment="1" applyProtection="1">
      <alignment horizontal="center" vertical="center"/>
      <protection locked="0"/>
    </xf>
    <xf numFmtId="0" fontId="9" fillId="3" borderId="27" xfId="0" applyFont="1" applyFill="1" applyBorder="1" applyAlignment="1">
      <alignment horizontal="center" vertical="center"/>
    </xf>
    <xf numFmtId="0" fontId="9" fillId="3" borderId="2" xfId="0" applyFont="1" applyFill="1" applyBorder="1" applyAlignment="1">
      <alignment horizontal="left" vertical="center" wrapText="1"/>
    </xf>
    <xf numFmtId="2" fontId="17" fillId="3" borderId="27" xfId="0" applyNumberFormat="1" applyFont="1" applyFill="1" applyBorder="1" applyAlignment="1">
      <alignment horizontal="center" vertical="center" wrapText="1"/>
    </xf>
    <xf numFmtId="2" fontId="17" fillId="3" borderId="2" xfId="0" applyNumberFormat="1" applyFont="1" applyFill="1" applyBorder="1" applyAlignment="1">
      <alignment horizontal="center" vertical="center"/>
    </xf>
    <xf numFmtId="2" fontId="9" fillId="0" borderId="16" xfId="0" applyNumberFormat="1" applyFont="1" applyBorder="1" applyAlignment="1" applyProtection="1">
      <alignment horizontal="center" vertical="center"/>
      <protection locked="0"/>
    </xf>
    <xf numFmtId="2" fontId="9" fillId="0" borderId="17" xfId="0" applyNumberFormat="1" applyFont="1" applyBorder="1" applyAlignment="1" applyProtection="1">
      <alignment horizontal="center" vertical="center"/>
      <protection locked="0"/>
    </xf>
    <xf numFmtId="2" fontId="9" fillId="0" borderId="56" xfId="0" applyNumberFormat="1" applyFont="1" applyBorder="1" applyAlignment="1" applyProtection="1">
      <alignment horizontal="center" vertical="center"/>
      <protection locked="0"/>
    </xf>
    <xf numFmtId="2" fontId="9" fillId="0" borderId="2" xfId="0" applyNumberFormat="1" applyFont="1" applyBorder="1" applyAlignment="1" applyProtection="1">
      <alignment horizontal="center" vertical="center"/>
      <protection locked="0"/>
    </xf>
    <xf numFmtId="2" fontId="9" fillId="0" borderId="18" xfId="0" applyNumberFormat="1" applyFont="1" applyBorder="1" applyAlignment="1" applyProtection="1">
      <alignment horizontal="center" vertical="center"/>
      <protection locked="0"/>
    </xf>
    <xf numFmtId="2" fontId="7" fillId="0" borderId="2" xfId="0" applyNumberFormat="1" applyFont="1" applyBorder="1" applyAlignment="1" applyProtection="1">
      <alignment horizontal="center" vertical="center"/>
      <protection locked="0"/>
    </xf>
    <xf numFmtId="0" fontId="9" fillId="3" borderId="29" xfId="0" applyFont="1" applyFill="1" applyBorder="1" applyAlignment="1">
      <alignment horizontal="center" vertical="center"/>
    </xf>
    <xf numFmtId="0" fontId="9" fillId="3" borderId="3" xfId="0" applyFont="1" applyFill="1" applyBorder="1" applyAlignment="1">
      <alignment horizontal="left" vertical="center" wrapText="1"/>
    </xf>
    <xf numFmtId="2" fontId="17" fillId="3" borderId="29" xfId="0" applyNumberFormat="1" applyFont="1" applyFill="1" applyBorder="1" applyAlignment="1">
      <alignment horizontal="center" vertical="center" wrapText="1"/>
    </xf>
    <xf numFmtId="2" fontId="17" fillId="3" borderId="3" xfId="0" applyNumberFormat="1" applyFont="1" applyFill="1" applyBorder="1" applyAlignment="1">
      <alignment horizontal="center" vertical="center"/>
    </xf>
    <xf numFmtId="2" fontId="9" fillId="0" borderId="19" xfId="0" applyNumberFormat="1" applyFont="1" applyBorder="1" applyAlignment="1" applyProtection="1">
      <alignment horizontal="center" vertical="center"/>
      <protection locked="0"/>
    </xf>
    <xf numFmtId="2" fontId="9" fillId="0" borderId="20" xfId="0" applyNumberFormat="1" applyFont="1" applyBorder="1" applyAlignment="1" applyProtection="1">
      <alignment horizontal="center" vertical="center"/>
      <protection locked="0"/>
    </xf>
    <xf numFmtId="2" fontId="9" fillId="0" borderId="60" xfId="0" applyNumberFormat="1" applyFont="1" applyBorder="1" applyAlignment="1" applyProtection="1">
      <alignment horizontal="center" vertical="center"/>
      <protection locked="0"/>
    </xf>
    <xf numFmtId="2" fontId="9" fillId="0" borderId="3" xfId="0" applyNumberFormat="1" applyFont="1" applyBorder="1" applyAlignment="1" applyProtection="1">
      <alignment horizontal="center" vertical="center"/>
      <protection locked="0"/>
    </xf>
    <xf numFmtId="2" fontId="9" fillId="0" borderId="21" xfId="0" applyNumberFormat="1" applyFont="1" applyBorder="1" applyAlignment="1" applyProtection="1">
      <alignment horizontal="center" vertical="center"/>
      <protection locked="0"/>
    </xf>
    <xf numFmtId="2" fontId="7" fillId="0" borderId="3" xfId="0" applyNumberFormat="1" applyFont="1" applyBorder="1" applyAlignment="1" applyProtection="1">
      <alignment horizontal="center" vertical="center"/>
      <protection locked="0"/>
    </xf>
    <xf numFmtId="0" fontId="9" fillId="3" borderId="76" xfId="0" applyFont="1" applyFill="1" applyBorder="1" applyAlignment="1">
      <alignment horizontal="center" vertical="center"/>
    </xf>
    <xf numFmtId="0" fontId="9" fillId="3" borderId="77" xfId="0" applyFont="1" applyFill="1" applyBorder="1" applyAlignment="1">
      <alignment horizontal="left" vertical="center" wrapText="1"/>
    </xf>
    <xf numFmtId="2" fontId="17" fillId="3" borderId="76" xfId="0" applyNumberFormat="1" applyFont="1" applyFill="1" applyBorder="1" applyAlignment="1">
      <alignment horizontal="center" vertical="center" wrapText="1"/>
    </xf>
    <xf numFmtId="2" fontId="17" fillId="3" borderId="77" xfId="0" applyNumberFormat="1" applyFont="1" applyFill="1" applyBorder="1" applyAlignment="1">
      <alignment horizontal="center" vertical="center"/>
    </xf>
    <xf numFmtId="2" fontId="9" fillId="0" borderId="79" xfId="0" applyNumberFormat="1" applyFont="1" applyBorder="1" applyAlignment="1" applyProtection="1">
      <alignment horizontal="center" vertical="center"/>
      <protection locked="0"/>
    </xf>
    <xf numFmtId="2" fontId="9" fillId="0" borderId="80" xfId="0" applyNumberFormat="1" applyFont="1" applyBorder="1" applyAlignment="1" applyProtection="1">
      <alignment horizontal="center" vertical="center"/>
      <protection locked="0"/>
    </xf>
    <xf numFmtId="2" fontId="9" fillId="0" borderId="112" xfId="0" applyNumberFormat="1" applyFont="1" applyBorder="1" applyAlignment="1" applyProtection="1">
      <alignment horizontal="center" vertical="center"/>
      <protection locked="0"/>
    </xf>
    <xf numFmtId="2" fontId="9" fillId="0" borderId="77" xfId="0" applyNumberFormat="1" applyFont="1" applyBorder="1" applyAlignment="1" applyProtection="1">
      <alignment horizontal="center" vertical="center"/>
      <protection locked="0"/>
    </xf>
    <xf numFmtId="2" fontId="9" fillId="0" borderId="81" xfId="0" applyNumberFormat="1" applyFont="1" applyBorder="1" applyAlignment="1" applyProtection="1">
      <alignment horizontal="center" vertical="center"/>
      <protection locked="0"/>
    </xf>
    <xf numFmtId="2" fontId="7" fillId="0" borderId="77" xfId="0" applyNumberFormat="1" applyFont="1" applyBorder="1" applyAlignment="1" applyProtection="1">
      <alignment horizontal="center" vertical="center"/>
      <protection locked="0"/>
    </xf>
    <xf numFmtId="2" fontId="17" fillId="3" borderId="44" xfId="0" applyNumberFormat="1" applyFont="1" applyFill="1" applyBorder="1" applyAlignment="1">
      <alignment horizontal="center" vertical="center" wrapText="1"/>
    </xf>
    <xf numFmtId="2" fontId="17" fillId="3" borderId="43" xfId="0" applyNumberFormat="1" applyFont="1" applyFill="1" applyBorder="1" applyAlignment="1">
      <alignment horizontal="center" vertical="center" wrapText="1"/>
    </xf>
    <xf numFmtId="2" fontId="17" fillId="3" borderId="46" xfId="0" applyNumberFormat="1" applyFont="1" applyFill="1" applyBorder="1" applyAlignment="1">
      <alignment horizontal="center" vertical="center" wrapText="1"/>
    </xf>
    <xf numFmtId="2" fontId="17" fillId="3" borderId="47" xfId="0" applyNumberFormat="1" applyFont="1" applyFill="1" applyBorder="1" applyAlignment="1">
      <alignment horizontal="center" vertical="center" wrapText="1"/>
    </xf>
    <xf numFmtId="2" fontId="17" fillId="3" borderId="109" xfId="0" applyNumberFormat="1" applyFont="1" applyFill="1" applyBorder="1" applyAlignment="1">
      <alignment horizontal="center" vertical="center" wrapText="1"/>
    </xf>
    <xf numFmtId="2" fontId="17" fillId="3" borderId="45" xfId="0" applyNumberFormat="1" applyFont="1" applyFill="1" applyBorder="1" applyAlignment="1">
      <alignment horizontal="center" vertical="center" wrapText="1"/>
    </xf>
    <xf numFmtId="2" fontId="17" fillId="3" borderId="48" xfId="0" applyNumberFormat="1" applyFont="1" applyFill="1" applyBorder="1" applyAlignment="1">
      <alignment horizontal="center" vertical="center" wrapText="1"/>
    </xf>
    <xf numFmtId="2" fontId="6" fillId="3" borderId="43" xfId="0" applyNumberFormat="1" applyFont="1" applyFill="1" applyBorder="1" applyAlignment="1">
      <alignment horizontal="center" vertical="center" wrapText="1"/>
    </xf>
    <xf numFmtId="2" fontId="17" fillId="3" borderId="5" xfId="0" applyNumberFormat="1" applyFont="1" applyFill="1" applyBorder="1" applyAlignment="1">
      <alignment horizontal="center" vertical="center" wrapText="1"/>
    </xf>
    <xf numFmtId="2" fontId="17" fillId="3" borderId="36" xfId="0" applyNumberFormat="1" applyFont="1" applyFill="1" applyBorder="1" applyAlignment="1">
      <alignment horizontal="center" vertical="center" wrapText="1"/>
    </xf>
    <xf numFmtId="2" fontId="17" fillId="3" borderId="37" xfId="0" applyNumberFormat="1" applyFont="1" applyFill="1" applyBorder="1" applyAlignment="1">
      <alignment horizontal="center" vertical="center" wrapText="1"/>
    </xf>
    <xf numFmtId="2" fontId="17" fillId="3" borderId="50" xfId="0" applyNumberFormat="1" applyFont="1" applyFill="1" applyBorder="1" applyAlignment="1">
      <alignment horizontal="center" vertical="center" wrapText="1"/>
    </xf>
    <xf numFmtId="2" fontId="17" fillId="3" borderId="51" xfId="0" applyNumberFormat="1" applyFont="1" applyFill="1" applyBorder="1" applyAlignment="1">
      <alignment horizontal="center" vertical="center" wrapText="1"/>
    </xf>
    <xf numFmtId="2" fontId="17" fillId="3" borderId="28" xfId="0" applyNumberFormat="1" applyFont="1" applyFill="1" applyBorder="1" applyAlignment="1">
      <alignment horizontal="center" vertical="center" wrapText="1"/>
    </xf>
    <xf numFmtId="2" fontId="6" fillId="3" borderId="5" xfId="0" applyNumberFormat="1" applyFont="1" applyFill="1" applyBorder="1" applyAlignment="1">
      <alignment horizontal="center" vertical="center" wrapText="1"/>
    </xf>
    <xf numFmtId="2" fontId="9" fillId="0" borderId="26" xfId="0" applyNumberFormat="1" applyFont="1" applyBorder="1" applyAlignment="1" applyProtection="1">
      <alignment horizontal="center" vertical="center" wrapText="1"/>
      <protection locked="0"/>
    </xf>
    <xf numFmtId="2" fontId="9" fillId="3" borderId="5" xfId="0" applyNumberFormat="1" applyFont="1" applyFill="1" applyBorder="1" applyAlignment="1">
      <alignment horizontal="center" vertical="center" wrapText="1"/>
    </xf>
    <xf numFmtId="2" fontId="9" fillId="3" borderId="36" xfId="0" applyNumberFormat="1" applyFont="1" applyFill="1" applyBorder="1" applyAlignment="1">
      <alignment horizontal="center" vertical="center" wrapText="1"/>
    </xf>
    <xf numFmtId="2" fontId="9" fillId="3" borderId="37" xfId="0" applyNumberFormat="1" applyFont="1" applyFill="1" applyBorder="1" applyAlignment="1">
      <alignment horizontal="center" vertical="center" wrapText="1"/>
    </xf>
    <xf numFmtId="2" fontId="9" fillId="3" borderId="50" xfId="0" applyNumberFormat="1" applyFont="1" applyFill="1" applyBorder="1" applyAlignment="1">
      <alignment horizontal="center" vertical="center" wrapText="1"/>
    </xf>
    <xf numFmtId="2" fontId="9" fillId="3" borderId="51" xfId="0" applyNumberFormat="1" applyFont="1" applyFill="1" applyBorder="1" applyAlignment="1">
      <alignment horizontal="center" vertical="center" wrapText="1"/>
    </xf>
    <xf numFmtId="2" fontId="9" fillId="3" borderId="28" xfId="0" applyNumberFormat="1" applyFont="1" applyFill="1" applyBorder="1" applyAlignment="1">
      <alignment horizontal="center" vertical="center" wrapText="1"/>
    </xf>
    <xf numFmtId="2" fontId="7" fillId="3" borderId="5" xfId="0" applyNumberFormat="1" applyFont="1" applyFill="1" applyBorder="1" applyAlignment="1">
      <alignment horizontal="center" vertical="center" wrapText="1"/>
    </xf>
    <xf numFmtId="2" fontId="17" fillId="3" borderId="16" xfId="0" applyNumberFormat="1" applyFont="1" applyFill="1" applyBorder="1" applyAlignment="1">
      <alignment horizontal="center" vertical="center"/>
    </xf>
    <xf numFmtId="2" fontId="17" fillId="3" borderId="17" xfId="0" applyNumberFormat="1" applyFont="1" applyFill="1" applyBorder="1" applyAlignment="1">
      <alignment horizontal="center" vertical="center"/>
    </xf>
    <xf numFmtId="2" fontId="17" fillId="3" borderId="56" xfId="0" applyNumberFormat="1" applyFont="1" applyFill="1" applyBorder="1" applyAlignment="1">
      <alignment horizontal="center" vertical="center"/>
    </xf>
    <xf numFmtId="2" fontId="17" fillId="3" borderId="57" xfId="0" applyNumberFormat="1" applyFont="1" applyFill="1" applyBorder="1" applyAlignment="1">
      <alignment horizontal="center" vertical="center"/>
    </xf>
    <xf numFmtId="2" fontId="17" fillId="3" borderId="18" xfId="0" applyNumberFormat="1" applyFont="1" applyFill="1" applyBorder="1" applyAlignment="1">
      <alignment horizontal="center" vertical="center"/>
    </xf>
    <xf numFmtId="2" fontId="6" fillId="3" borderId="2" xfId="0" applyNumberFormat="1" applyFont="1" applyFill="1" applyBorder="1" applyAlignment="1">
      <alignment horizontal="center" vertical="center"/>
    </xf>
    <xf numFmtId="2" fontId="9" fillId="0" borderId="29" xfId="0" applyNumberFormat="1" applyFont="1" applyBorder="1" applyAlignment="1" applyProtection="1">
      <alignment horizontal="center" vertical="center" wrapText="1"/>
      <protection locked="0"/>
    </xf>
    <xf numFmtId="2" fontId="17" fillId="3" borderId="17" xfId="0" applyNumberFormat="1" applyFont="1" applyFill="1" applyBorder="1" applyAlignment="1">
      <alignment horizontal="center" vertical="center" wrapText="1"/>
    </xf>
    <xf numFmtId="2" fontId="17" fillId="3" borderId="58" xfId="0" applyNumberFormat="1" applyFont="1" applyFill="1" applyBorder="1" applyAlignment="1">
      <alignment horizontal="center" vertical="center" wrapText="1"/>
    </xf>
    <xf numFmtId="2" fontId="17" fillId="3" borderId="56" xfId="0" applyNumberFormat="1" applyFont="1" applyFill="1" applyBorder="1" applyAlignment="1">
      <alignment horizontal="center" vertical="center" wrapText="1"/>
    </xf>
    <xf numFmtId="2" fontId="17" fillId="3" borderId="2" xfId="0" applyNumberFormat="1" applyFont="1" applyFill="1" applyBorder="1" applyAlignment="1">
      <alignment horizontal="center" vertical="center" wrapText="1"/>
    </xf>
    <xf numFmtId="2" fontId="17" fillId="3" borderId="18" xfId="0" applyNumberFormat="1" applyFont="1" applyFill="1" applyBorder="1" applyAlignment="1">
      <alignment horizontal="center" vertical="center" wrapText="1"/>
    </xf>
    <xf numFmtId="2" fontId="6" fillId="3" borderId="2" xfId="0" applyNumberFormat="1" applyFont="1" applyFill="1" applyBorder="1" applyAlignment="1">
      <alignment horizontal="center" vertical="center" wrapText="1"/>
    </xf>
    <xf numFmtId="2" fontId="9" fillId="0" borderId="27" xfId="0" applyNumberFormat="1" applyFont="1" applyBorder="1" applyAlignment="1" applyProtection="1">
      <alignment horizontal="center" vertical="center" wrapText="1"/>
      <protection locked="0"/>
    </xf>
    <xf numFmtId="0" fontId="9" fillId="3" borderId="6" xfId="0" applyFont="1" applyFill="1" applyBorder="1" applyAlignment="1">
      <alignment horizontal="center" vertical="center"/>
    </xf>
    <xf numFmtId="0" fontId="9" fillId="3" borderId="6" xfId="0" applyFont="1" applyFill="1" applyBorder="1" applyAlignment="1">
      <alignment horizontal="left" vertical="center" wrapText="1"/>
    </xf>
    <xf numFmtId="2" fontId="17" fillId="3" borderId="30" xfId="0" applyNumberFormat="1" applyFont="1" applyFill="1" applyBorder="1" applyAlignment="1">
      <alignment horizontal="center" vertical="center" wrapText="1"/>
    </xf>
    <xf numFmtId="2" fontId="17" fillId="3" borderId="6" xfId="0" applyNumberFormat="1" applyFont="1" applyFill="1" applyBorder="1" applyAlignment="1">
      <alignment horizontal="center" vertical="center"/>
    </xf>
    <xf numFmtId="2" fontId="9" fillId="0" borderId="38" xfId="0" applyNumberFormat="1" applyFont="1" applyBorder="1" applyAlignment="1" applyProtection="1">
      <alignment horizontal="center" vertical="center"/>
      <protection locked="0"/>
    </xf>
    <xf numFmtId="2" fontId="9" fillId="0" borderId="31" xfId="0" applyNumberFormat="1" applyFont="1" applyBorder="1" applyAlignment="1" applyProtection="1">
      <alignment horizontal="center" vertical="center"/>
      <protection locked="0"/>
    </xf>
    <xf numFmtId="2" fontId="9" fillId="0" borderId="106" xfId="0" applyNumberFormat="1" applyFont="1" applyBorder="1" applyAlignment="1" applyProtection="1">
      <alignment horizontal="center" vertical="center"/>
      <protection locked="0"/>
    </xf>
    <xf numFmtId="2" fontId="9" fillId="0" borderId="6" xfId="0" applyNumberFormat="1" applyFont="1" applyBorder="1" applyAlignment="1" applyProtection="1">
      <alignment horizontal="center" vertical="center"/>
      <protection locked="0"/>
    </xf>
    <xf numFmtId="2" fontId="9" fillId="0" borderId="32" xfId="0" applyNumberFormat="1" applyFont="1" applyBorder="1" applyAlignment="1" applyProtection="1">
      <alignment horizontal="center" vertical="center"/>
      <protection locked="0"/>
    </xf>
    <xf numFmtId="0" fontId="17" fillId="3" borderId="39" xfId="0" applyFont="1" applyFill="1" applyBorder="1" applyAlignment="1">
      <alignment horizontal="center" vertical="center"/>
    </xf>
    <xf numFmtId="0" fontId="17" fillId="3" borderId="105" xfId="0" applyFont="1" applyFill="1" applyBorder="1" applyAlignment="1">
      <alignment horizontal="center" vertical="center" wrapText="1"/>
    </xf>
    <xf numFmtId="2" fontId="17" fillId="3" borderId="39" xfId="0" applyNumberFormat="1" applyFont="1" applyFill="1" applyBorder="1" applyAlignment="1">
      <alignment horizontal="center" vertical="center" wrapText="1"/>
    </xf>
    <xf numFmtId="2" fontId="17" fillId="3" borderId="1" xfId="0" applyNumberFormat="1" applyFont="1" applyFill="1" applyBorder="1" applyAlignment="1">
      <alignment horizontal="center" vertical="center"/>
    </xf>
    <xf numFmtId="2" fontId="17" fillId="3" borderId="7" xfId="0" applyNumberFormat="1" applyFont="1" applyFill="1" applyBorder="1" applyAlignment="1">
      <alignment horizontal="center" vertical="center"/>
    </xf>
    <xf numFmtId="2" fontId="17" fillId="3" borderId="8" xfId="0" applyNumberFormat="1" applyFont="1" applyFill="1" applyBorder="1" applyAlignment="1">
      <alignment horizontal="center" vertical="center"/>
    </xf>
    <xf numFmtId="2" fontId="17" fillId="3" borderId="111" xfId="0" applyNumberFormat="1" applyFont="1" applyFill="1" applyBorder="1" applyAlignment="1">
      <alignment horizontal="center" vertical="center"/>
    </xf>
    <xf numFmtId="2" fontId="17" fillId="3" borderId="40" xfId="0" applyNumberFormat="1" applyFont="1" applyFill="1" applyBorder="1" applyAlignment="1">
      <alignment horizontal="center" vertical="center"/>
    </xf>
    <xf numFmtId="2" fontId="17" fillId="3" borderId="9" xfId="0" applyNumberFormat="1" applyFont="1" applyFill="1" applyBorder="1" applyAlignment="1">
      <alignment horizontal="center" vertical="center"/>
    </xf>
    <xf numFmtId="4" fontId="32" fillId="2" borderId="43" xfId="0" applyNumberFormat="1" applyFont="1" applyFill="1" applyBorder="1" applyAlignment="1" applyProtection="1">
      <alignment horizontal="center" vertical="center" wrapText="1"/>
      <protection hidden="1"/>
    </xf>
    <xf numFmtId="4" fontId="32" fillId="2" borderId="45" xfId="0" applyNumberFormat="1" applyFont="1" applyFill="1" applyBorder="1" applyAlignment="1" applyProtection="1">
      <alignment horizontal="center" vertical="center" wrapText="1"/>
      <protection hidden="1"/>
    </xf>
    <xf numFmtId="4" fontId="32" fillId="2" borderId="46" xfId="0" applyNumberFormat="1" applyFont="1" applyFill="1" applyBorder="1" applyAlignment="1" applyProtection="1">
      <alignment horizontal="center" vertical="center" wrapText="1"/>
      <protection hidden="1"/>
    </xf>
    <xf numFmtId="4" fontId="32" fillId="2" borderId="47" xfId="0" applyNumberFormat="1" applyFont="1" applyFill="1" applyBorder="1" applyAlignment="1" applyProtection="1">
      <alignment horizontal="center" vertical="center" wrapText="1"/>
      <protection hidden="1"/>
    </xf>
    <xf numFmtId="4" fontId="32" fillId="2" borderId="48" xfId="0" applyNumberFormat="1" applyFont="1" applyFill="1" applyBorder="1" applyAlignment="1" applyProtection="1">
      <alignment horizontal="center" vertical="center" wrapText="1"/>
      <protection hidden="1"/>
    </xf>
    <xf numFmtId="4" fontId="32" fillId="2" borderId="49" xfId="0" applyNumberFormat="1" applyFont="1" applyFill="1" applyBorder="1" applyAlignment="1" applyProtection="1">
      <alignment horizontal="center" vertical="center" wrapText="1"/>
      <protection hidden="1"/>
    </xf>
    <xf numFmtId="4" fontId="9" fillId="2" borderId="51" xfId="0" applyNumberFormat="1" applyFont="1" applyFill="1" applyBorder="1" applyAlignment="1" applyProtection="1">
      <alignment horizontal="center" vertical="center"/>
      <protection hidden="1"/>
    </xf>
    <xf numFmtId="4" fontId="9" fillId="2" borderId="61" xfId="0" applyNumberFormat="1" applyFont="1" applyFill="1" applyBorder="1" applyAlignment="1" applyProtection="1">
      <alignment horizontal="center" vertical="center"/>
      <protection hidden="1"/>
    </xf>
    <xf numFmtId="4" fontId="9" fillId="2" borderId="108" xfId="0" applyNumberFormat="1" applyFont="1" applyFill="1" applyBorder="1" applyAlignment="1" applyProtection="1">
      <alignment horizontal="center" vertical="center"/>
      <protection hidden="1"/>
    </xf>
    <xf numFmtId="4" fontId="17" fillId="0" borderId="5" xfId="0" applyNumberFormat="1" applyFont="1" applyBorder="1" applyAlignment="1" applyProtection="1">
      <alignment horizontal="center" vertical="center" wrapText="1"/>
      <protection locked="0"/>
    </xf>
    <xf numFmtId="2" fontId="2" fillId="0" borderId="0" xfId="0" applyNumberFormat="1" applyFont="1"/>
    <xf numFmtId="4" fontId="17" fillId="3" borderId="5" xfId="0" applyNumberFormat="1" applyFont="1" applyFill="1" applyBorder="1" applyAlignment="1">
      <alignment horizontal="center" vertical="center"/>
    </xf>
    <xf numFmtId="4" fontId="9" fillId="0" borderId="36" xfId="0" applyNumberFormat="1" applyFont="1" applyBorder="1" applyAlignment="1" applyProtection="1">
      <alignment horizontal="center" vertical="center"/>
      <protection locked="0"/>
    </xf>
    <xf numFmtId="4" fontId="9" fillId="0" borderId="37" xfId="0" applyNumberFormat="1" applyFont="1" applyBorder="1" applyAlignment="1" applyProtection="1">
      <alignment horizontal="center" vertical="center"/>
      <protection locked="0"/>
    </xf>
    <xf numFmtId="4" fontId="9" fillId="0" borderId="50" xfId="0" applyNumberFormat="1" applyFont="1" applyBorder="1" applyAlignment="1" applyProtection="1">
      <alignment horizontal="center" vertical="center"/>
      <protection locked="0"/>
    </xf>
    <xf numFmtId="4" fontId="9" fillId="0" borderId="5" xfId="0" applyNumberFormat="1" applyFont="1" applyBorder="1" applyAlignment="1" applyProtection="1">
      <alignment horizontal="center" vertical="center"/>
      <protection locked="0"/>
    </xf>
    <xf numFmtId="4" fontId="17" fillId="3" borderId="51" xfId="0" applyNumberFormat="1" applyFont="1" applyFill="1" applyBorder="1" applyAlignment="1">
      <alignment horizontal="center" vertical="center"/>
    </xf>
    <xf numFmtId="4" fontId="9" fillId="0" borderId="28" xfId="0" applyNumberFormat="1" applyFont="1" applyBorder="1" applyAlignment="1" applyProtection="1">
      <alignment horizontal="center" vertical="center"/>
      <protection locked="0"/>
    </xf>
    <xf numFmtId="4" fontId="17" fillId="3" borderId="29" xfId="0" applyNumberFormat="1" applyFont="1" applyFill="1" applyBorder="1" applyAlignment="1">
      <alignment horizontal="center" vertical="center" wrapText="1"/>
    </xf>
    <xf numFmtId="4" fontId="17" fillId="3" borderId="3" xfId="0" applyNumberFormat="1" applyFont="1" applyFill="1" applyBorder="1" applyAlignment="1">
      <alignment horizontal="center" vertical="center"/>
    </xf>
    <xf numFmtId="4" fontId="9" fillId="0" borderId="19" xfId="0" applyNumberFormat="1" applyFont="1" applyBorder="1" applyAlignment="1" applyProtection="1">
      <alignment horizontal="center" vertical="center"/>
      <protection locked="0"/>
    </xf>
    <xf numFmtId="4" fontId="9" fillId="0" borderId="20" xfId="0" applyNumberFormat="1" applyFont="1" applyBorder="1" applyAlignment="1" applyProtection="1">
      <alignment horizontal="center" vertical="center"/>
      <protection locked="0"/>
    </xf>
    <xf numFmtId="4" fontId="9" fillId="0" borderId="60" xfId="0" applyNumberFormat="1" applyFont="1" applyBorder="1" applyAlignment="1" applyProtection="1">
      <alignment horizontal="center" vertical="center"/>
      <protection locked="0"/>
    </xf>
    <xf numFmtId="4" fontId="9" fillId="0" borderId="3" xfId="0" applyNumberFormat="1" applyFont="1" applyBorder="1" applyAlignment="1" applyProtection="1">
      <alignment horizontal="center" vertical="center"/>
      <protection locked="0"/>
    </xf>
    <xf numFmtId="4" fontId="17" fillId="3" borderId="61" xfId="0" applyNumberFormat="1" applyFont="1" applyFill="1" applyBorder="1" applyAlignment="1">
      <alignment horizontal="center" vertical="center"/>
    </xf>
    <xf numFmtId="4" fontId="9" fillId="0" borderId="21" xfId="0" applyNumberFormat="1" applyFont="1" applyBorder="1" applyAlignment="1" applyProtection="1">
      <alignment horizontal="center" vertical="center"/>
      <protection locked="0"/>
    </xf>
    <xf numFmtId="4" fontId="17" fillId="0" borderId="59" xfId="0" applyNumberFormat="1" applyFont="1" applyBorder="1" applyAlignment="1" applyProtection="1">
      <alignment horizontal="center" vertical="center" wrapText="1"/>
      <protection locked="0"/>
    </xf>
    <xf numFmtId="4" fontId="9" fillId="0" borderId="29" xfId="0" applyNumberFormat="1" applyFont="1" applyBorder="1" applyAlignment="1" applyProtection="1">
      <alignment horizontal="center" vertical="center" wrapText="1"/>
      <protection locked="0"/>
    </xf>
    <xf numFmtId="4" fontId="9" fillId="0" borderId="27" xfId="0" applyNumberFormat="1" applyFont="1" applyBorder="1" applyAlignment="1" applyProtection="1">
      <alignment horizontal="center" vertical="center" wrapText="1"/>
      <protection locked="0"/>
    </xf>
    <xf numFmtId="4" fontId="9" fillId="3" borderId="105" xfId="0" applyNumberFormat="1" applyFont="1" applyFill="1" applyBorder="1" applyAlignment="1">
      <alignment horizontal="center" vertical="center" wrapText="1"/>
    </xf>
    <xf numFmtId="4" fontId="9" fillId="3" borderId="22" xfId="0" applyNumberFormat="1" applyFont="1" applyFill="1" applyBorder="1" applyAlignment="1">
      <alignment horizontal="center" vertical="center" wrapText="1"/>
    </xf>
    <xf numFmtId="4" fontId="9" fillId="3" borderId="23" xfId="0" applyNumberFormat="1" applyFont="1" applyFill="1" applyBorder="1" applyAlignment="1">
      <alignment horizontal="center" vertical="center" wrapText="1"/>
    </xf>
    <xf numFmtId="4" fontId="9" fillId="3" borderId="110" xfId="0" applyNumberFormat="1" applyFont="1" applyFill="1" applyBorder="1" applyAlignment="1">
      <alignment horizontal="center" vertical="center" wrapText="1"/>
    </xf>
    <xf numFmtId="4" fontId="9" fillId="3" borderId="59" xfId="0" applyNumberFormat="1" applyFont="1" applyFill="1" applyBorder="1" applyAlignment="1">
      <alignment horizontal="center" vertical="center" wrapText="1"/>
    </xf>
    <xf numFmtId="4" fontId="9" fillId="3" borderId="108" xfId="0" applyNumberFormat="1" applyFont="1" applyFill="1" applyBorder="1" applyAlignment="1">
      <alignment horizontal="center" vertical="center" wrapText="1"/>
    </xf>
    <xf numFmtId="4" fontId="9" fillId="3" borderId="24" xfId="0" applyNumberFormat="1" applyFont="1" applyFill="1" applyBorder="1" applyAlignment="1">
      <alignment horizontal="center" vertical="center" wrapText="1"/>
    </xf>
    <xf numFmtId="0" fontId="15" fillId="0" borderId="0" xfId="0" applyFont="1" applyAlignment="1">
      <alignment horizontal="left" vertical="center" wrapText="1"/>
    </xf>
    <xf numFmtId="0" fontId="17" fillId="2" borderId="1" xfId="3" applyFont="1" applyFill="1" applyBorder="1" applyAlignment="1">
      <alignment horizontal="center" vertical="center"/>
    </xf>
    <xf numFmtId="0" fontId="17" fillId="2" borderId="42" xfId="3" applyFont="1" applyFill="1" applyBorder="1" applyAlignment="1">
      <alignment horizontal="center" vertical="center"/>
    </xf>
    <xf numFmtId="170" fontId="17" fillId="2" borderId="8" xfId="3" applyNumberFormat="1" applyFont="1" applyFill="1" applyBorder="1" applyAlignment="1">
      <alignment horizontal="center" vertical="center" wrapText="1"/>
    </xf>
    <xf numFmtId="3" fontId="17" fillId="3" borderId="40" xfId="4" applyNumberFormat="1" applyFont="1" applyFill="1" applyBorder="1" applyAlignment="1">
      <alignment horizontal="center" vertical="center" wrapText="1"/>
    </xf>
    <xf numFmtId="0" fontId="22" fillId="2" borderId="44" xfId="3" applyFont="1" applyFill="1" applyBorder="1" applyAlignment="1">
      <alignment horizontal="center" vertical="center"/>
    </xf>
    <xf numFmtId="0" fontId="17" fillId="2" borderId="49" xfId="3" applyFont="1" applyFill="1" applyBorder="1" applyAlignment="1">
      <alignment horizontal="center" vertical="center"/>
    </xf>
    <xf numFmtId="3" fontId="22" fillId="2" borderId="49" xfId="3" applyNumberFormat="1" applyFont="1" applyFill="1" applyBorder="1" applyAlignment="1">
      <alignment horizontal="center" vertical="center"/>
    </xf>
    <xf numFmtId="3" fontId="22" fillId="3" borderId="45" xfId="4" applyNumberFormat="1" applyFont="1" applyFill="1" applyBorder="1" applyAlignment="1">
      <alignment horizontal="center" vertical="center"/>
    </xf>
    <xf numFmtId="0" fontId="17" fillId="2" borderId="36" xfId="3" applyFont="1" applyFill="1" applyBorder="1" applyAlignment="1">
      <alignment horizontal="center" vertical="center"/>
    </xf>
    <xf numFmtId="0" fontId="17" fillId="2" borderId="50" xfId="3" applyFont="1" applyFill="1" applyBorder="1" applyAlignment="1">
      <alignment horizontal="center" vertical="center"/>
    </xf>
    <xf numFmtId="0" fontId="17" fillId="2" borderId="37" xfId="3" applyFont="1" applyFill="1" applyBorder="1" applyAlignment="1">
      <alignment horizontal="center" vertical="center"/>
    </xf>
    <xf numFmtId="170" fontId="17" fillId="0" borderId="51" xfId="5" applyNumberFormat="1" applyFont="1" applyBorder="1" applyAlignment="1" applyProtection="1">
      <alignment horizontal="center" vertical="center"/>
      <protection locked="0"/>
    </xf>
    <xf numFmtId="0" fontId="17" fillId="2" borderId="19" xfId="3" applyFont="1" applyFill="1" applyBorder="1" applyAlignment="1">
      <alignment horizontal="center" vertical="center"/>
    </xf>
    <xf numFmtId="0" fontId="17" fillId="2" borderId="60" xfId="3" applyFont="1" applyFill="1" applyBorder="1" applyAlignment="1">
      <alignment horizontal="center" vertical="center"/>
    </xf>
    <xf numFmtId="0" fontId="17" fillId="2" borderId="20" xfId="3" applyFont="1" applyFill="1" applyBorder="1" applyAlignment="1">
      <alignment horizontal="center" vertical="center"/>
    </xf>
    <xf numFmtId="170" fontId="17" fillId="0" borderId="61" xfId="4" applyNumberFormat="1" applyFont="1" applyBorder="1" applyAlignment="1" applyProtection="1">
      <alignment horizontal="center" vertical="center"/>
      <protection locked="0"/>
    </xf>
    <xf numFmtId="0" fontId="17" fillId="2" borderId="13" xfId="3" applyFont="1" applyFill="1" applyBorder="1" applyAlignment="1">
      <alignment horizontal="center" vertical="center"/>
    </xf>
    <xf numFmtId="0" fontId="17" fillId="2" borderId="25" xfId="3" applyFont="1" applyFill="1" applyBorder="1" applyAlignment="1">
      <alignment horizontal="center" vertical="center"/>
    </xf>
    <xf numFmtId="0" fontId="17" fillId="2" borderId="14" xfId="3" applyFont="1" applyFill="1" applyBorder="1" applyAlignment="1">
      <alignment horizontal="center" vertical="center"/>
    </xf>
    <xf numFmtId="169" fontId="17" fillId="0" borderId="53" xfId="1" applyFont="1" applyBorder="1" applyAlignment="1" applyProtection="1">
      <alignment horizontal="center" vertical="center"/>
      <protection locked="0"/>
    </xf>
    <xf numFmtId="0" fontId="9" fillId="2" borderId="16" xfId="3" applyFont="1" applyFill="1" applyBorder="1" applyAlignment="1">
      <alignment horizontal="center" vertical="center"/>
    </xf>
    <xf numFmtId="0" fontId="9" fillId="2" borderId="56" xfId="3" applyFont="1" applyFill="1" applyBorder="1" applyAlignment="1">
      <alignment horizontal="right" vertical="center"/>
    </xf>
    <xf numFmtId="0" fontId="9" fillId="2" borderId="17" xfId="3" applyFont="1" applyFill="1" applyBorder="1" applyAlignment="1">
      <alignment horizontal="center" vertical="center"/>
    </xf>
    <xf numFmtId="170" fontId="9" fillId="2" borderId="57" xfId="4" applyNumberFormat="1" applyFont="1" applyFill="1" applyBorder="1" applyAlignment="1" applyProtection="1">
      <alignment horizontal="right" vertical="center"/>
      <protection locked="0"/>
    </xf>
    <xf numFmtId="0" fontId="22" fillId="2" borderId="16" xfId="3" applyFont="1" applyFill="1" applyBorder="1" applyAlignment="1">
      <alignment horizontal="center" vertical="center"/>
    </xf>
    <xf numFmtId="0" fontId="22" fillId="2" borderId="56" xfId="3" applyFont="1" applyFill="1" applyBorder="1" applyAlignment="1">
      <alignment horizontal="right" vertical="center"/>
    </xf>
    <xf numFmtId="0" fontId="22" fillId="2" borderId="17" xfId="3" applyFont="1" applyFill="1" applyBorder="1" applyAlignment="1">
      <alignment horizontal="center" vertical="center"/>
    </xf>
    <xf numFmtId="170" fontId="22" fillId="0" borderId="61" xfId="4" applyNumberFormat="1" applyFont="1" applyBorder="1" applyAlignment="1" applyProtection="1">
      <alignment horizontal="right" vertical="center"/>
      <protection locked="0"/>
    </xf>
    <xf numFmtId="0" fontId="6" fillId="2" borderId="22" xfId="3" applyFont="1" applyFill="1" applyBorder="1" applyAlignment="1">
      <alignment horizontal="center" vertical="center"/>
    </xf>
    <xf numFmtId="0" fontId="6" fillId="2" borderId="110" xfId="3" applyFont="1" applyFill="1" applyBorder="1" applyAlignment="1">
      <alignment horizontal="right" vertical="center"/>
    </xf>
    <xf numFmtId="0" fontId="6" fillId="2" borderId="23" xfId="3" applyFont="1" applyFill="1" applyBorder="1" applyAlignment="1">
      <alignment horizontal="center" vertical="center"/>
    </xf>
    <xf numFmtId="170" fontId="22" fillId="0" borderId="108" xfId="4" applyNumberFormat="1" applyFont="1" applyBorder="1" applyAlignment="1" applyProtection="1">
      <alignment horizontal="right" vertical="center"/>
      <protection locked="0"/>
    </xf>
    <xf numFmtId="0" fontId="9" fillId="2" borderId="14" xfId="3" applyFont="1" applyFill="1" applyBorder="1" applyAlignment="1">
      <alignment horizontal="center" vertical="center"/>
    </xf>
    <xf numFmtId="169" fontId="17" fillId="3" borderId="53" xfId="1" applyFont="1" applyFill="1" applyBorder="1" applyAlignment="1">
      <alignment horizontal="center" vertical="center"/>
    </xf>
    <xf numFmtId="0" fontId="17" fillId="2" borderId="16" xfId="3" applyFont="1" applyFill="1" applyBorder="1" applyAlignment="1">
      <alignment horizontal="center" vertical="center"/>
    </xf>
    <xf numFmtId="0" fontId="17" fillId="2" borderId="56" xfId="3" applyFont="1" applyFill="1" applyBorder="1" applyAlignment="1">
      <alignment horizontal="center" vertical="center"/>
    </xf>
    <xf numFmtId="0" fontId="17" fillId="2" borderId="17" xfId="3" applyFont="1" applyFill="1" applyBorder="1" applyAlignment="1">
      <alignment horizontal="center" vertical="center"/>
    </xf>
    <xf numFmtId="170" fontId="17" fillId="3" borderId="57" xfId="4" applyNumberFormat="1" applyFont="1" applyFill="1" applyBorder="1" applyAlignment="1">
      <alignment horizontal="center" vertical="center"/>
    </xf>
    <xf numFmtId="170" fontId="22" fillId="0" borderId="57" xfId="4" applyNumberFormat="1" applyFont="1" applyBorder="1" applyAlignment="1" applyProtection="1">
      <alignment horizontal="right" vertical="center"/>
      <protection locked="0"/>
    </xf>
    <xf numFmtId="0" fontId="42" fillId="2" borderId="16" xfId="3" applyFont="1" applyFill="1" applyBorder="1" applyAlignment="1">
      <alignment horizontal="center" vertical="center"/>
    </xf>
    <xf numFmtId="0" fontId="42" fillId="2" borderId="56" xfId="3" applyFont="1" applyFill="1" applyBorder="1" applyAlignment="1">
      <alignment horizontal="right" vertical="center"/>
    </xf>
    <xf numFmtId="0" fontId="42" fillId="2" borderId="17" xfId="3" applyFont="1" applyFill="1" applyBorder="1" applyAlignment="1">
      <alignment horizontal="center" vertical="center"/>
    </xf>
    <xf numFmtId="170" fontId="17" fillId="0" borderId="57" xfId="4" applyNumberFormat="1" applyFont="1" applyBorder="1" applyAlignment="1" applyProtection="1">
      <alignment horizontal="center" vertical="center"/>
      <protection locked="0"/>
    </xf>
    <xf numFmtId="0" fontId="17" fillId="2" borderId="7" xfId="3" applyFont="1" applyFill="1" applyBorder="1" applyAlignment="1">
      <alignment horizontal="center" vertical="center"/>
    </xf>
    <xf numFmtId="0" fontId="17" fillId="2" borderId="111" xfId="3" applyFont="1" applyFill="1" applyBorder="1" applyAlignment="1">
      <alignment horizontal="center" vertical="center"/>
    </xf>
    <xf numFmtId="0" fontId="17" fillId="2" borderId="8" xfId="3" applyFont="1" applyFill="1" applyBorder="1" applyAlignment="1">
      <alignment horizontal="center" vertical="center"/>
    </xf>
    <xf numFmtId="170" fontId="17" fillId="0" borderId="40" xfId="4" applyNumberFormat="1" applyFont="1" applyBorder="1" applyAlignment="1" applyProtection="1">
      <alignment horizontal="center" vertical="center"/>
      <protection locked="0"/>
    </xf>
    <xf numFmtId="1" fontId="17" fillId="2" borderId="13" xfId="3" applyNumberFormat="1" applyFont="1" applyFill="1" applyBorder="1" applyAlignment="1">
      <alignment horizontal="center" vertical="center"/>
    </xf>
    <xf numFmtId="172" fontId="17" fillId="2" borderId="25" xfId="3" applyNumberFormat="1" applyFont="1" applyFill="1" applyBorder="1" applyAlignment="1">
      <alignment horizontal="center" vertical="center"/>
    </xf>
    <xf numFmtId="172" fontId="17" fillId="2" borderId="14" xfId="3" applyNumberFormat="1" applyFont="1" applyFill="1" applyBorder="1" applyAlignment="1">
      <alignment horizontal="center" vertical="center"/>
    </xf>
    <xf numFmtId="1" fontId="17" fillId="3" borderId="53" xfId="4" applyNumberFormat="1" applyFont="1" applyFill="1" applyBorder="1" applyAlignment="1">
      <alignment horizontal="center" vertical="center"/>
    </xf>
    <xf numFmtId="16" fontId="9" fillId="2" borderId="16" xfId="3" applyNumberFormat="1" applyFont="1" applyFill="1" applyBorder="1" applyAlignment="1">
      <alignment horizontal="center" vertical="center"/>
    </xf>
    <xf numFmtId="172" fontId="9" fillId="3" borderId="57" xfId="4" applyNumberFormat="1" applyFont="1" applyFill="1" applyBorder="1" applyAlignment="1">
      <alignment horizontal="center" vertical="center"/>
    </xf>
    <xf numFmtId="1" fontId="9" fillId="3" borderId="57" xfId="4" applyNumberFormat="1" applyFont="1" applyFill="1" applyBorder="1" applyAlignment="1">
      <alignment horizontal="center" vertical="center"/>
    </xf>
    <xf numFmtId="1" fontId="22" fillId="3" borderId="57" xfId="4" applyNumberFormat="1" applyFont="1" applyFill="1" applyBorder="1" applyAlignment="1">
      <alignment horizontal="center" vertical="center"/>
    </xf>
    <xf numFmtId="0" fontId="22" fillId="2" borderId="106" xfId="3" applyFont="1" applyFill="1" applyBorder="1" applyAlignment="1">
      <alignment horizontal="right" vertical="center"/>
    </xf>
    <xf numFmtId="0" fontId="22" fillId="2" borderId="31" xfId="3" applyFont="1" applyFill="1" applyBorder="1" applyAlignment="1">
      <alignment horizontal="center" vertical="center"/>
    </xf>
    <xf numFmtId="1" fontId="22" fillId="3" borderId="83" xfId="4" applyNumberFormat="1" applyFont="1" applyFill="1" applyBorder="1" applyAlignment="1">
      <alignment horizontal="center" vertical="center"/>
    </xf>
    <xf numFmtId="170" fontId="17" fillId="3" borderId="53" xfId="4" applyNumberFormat="1" applyFont="1" applyFill="1" applyBorder="1" applyAlignment="1">
      <alignment horizontal="center" vertical="center"/>
    </xf>
    <xf numFmtId="170" fontId="9" fillId="0" borderId="57" xfId="4" applyNumberFormat="1" applyFont="1" applyBorder="1" applyAlignment="1" applyProtection="1">
      <alignment horizontal="center" vertical="center"/>
      <protection locked="0"/>
    </xf>
    <xf numFmtId="0" fontId="9" fillId="2" borderId="50" xfId="3" applyFont="1" applyFill="1" applyBorder="1" applyAlignment="1">
      <alignment horizontal="right" vertical="center"/>
    </xf>
    <xf numFmtId="166" fontId="9" fillId="0" borderId="57" xfId="4" applyNumberFormat="1" applyFont="1" applyBorder="1" applyAlignment="1" applyProtection="1">
      <alignment horizontal="center" vertical="center"/>
      <protection locked="0"/>
    </xf>
    <xf numFmtId="0" fontId="17" fillId="2" borderId="7" xfId="0" applyFont="1" applyFill="1" applyBorder="1" applyAlignment="1" applyProtection="1">
      <alignment horizontal="center" vertical="center"/>
      <protection locked="0"/>
    </xf>
    <xf numFmtId="0" fontId="17" fillId="2" borderId="8" xfId="0" applyFont="1" applyFill="1" applyBorder="1" applyAlignment="1" applyProtection="1">
      <alignment horizontal="center" vertical="center" wrapText="1"/>
      <protection locked="0"/>
    </xf>
    <xf numFmtId="170" fontId="17" fillId="2" borderId="8" xfId="0" applyNumberFormat="1" applyFont="1" applyFill="1" applyBorder="1" applyAlignment="1" applyProtection="1">
      <alignment horizontal="center" vertical="center"/>
      <protection hidden="1"/>
    </xf>
    <xf numFmtId="170" fontId="17" fillId="0" borderId="9" xfId="0" applyNumberFormat="1" applyFont="1" applyBorder="1" applyAlignment="1" applyProtection="1">
      <alignment horizontal="center" vertical="center"/>
      <protection locked="0"/>
    </xf>
    <xf numFmtId="0" fontId="17" fillId="2" borderId="22" xfId="3" applyFont="1" applyFill="1" applyBorder="1" applyAlignment="1">
      <alignment horizontal="center" vertical="center"/>
    </xf>
    <xf numFmtId="0" fontId="17" fillId="2" borderId="110" xfId="3" applyFont="1" applyFill="1" applyBorder="1" applyAlignment="1">
      <alignment horizontal="center" vertical="center"/>
    </xf>
    <xf numFmtId="166" fontId="17" fillId="0" borderId="108" xfId="4" applyNumberFormat="1" applyFont="1" applyBorder="1" applyAlignment="1" applyProtection="1">
      <alignment horizontal="center" vertical="center"/>
      <protection locked="0"/>
    </xf>
    <xf numFmtId="0" fontId="17" fillId="2" borderId="113" xfId="3" applyFont="1" applyFill="1" applyBorder="1" applyAlignment="1">
      <alignment horizontal="center" vertical="center" wrapText="1"/>
    </xf>
    <xf numFmtId="0" fontId="17" fillId="2" borderId="11" xfId="3" applyFont="1" applyFill="1" applyBorder="1" applyAlignment="1">
      <alignment horizontal="center" vertical="center"/>
    </xf>
    <xf numFmtId="170" fontId="17" fillId="3" borderId="114" xfId="4" applyNumberFormat="1" applyFont="1" applyFill="1" applyBorder="1" applyAlignment="1">
      <alignment horizontal="center" vertical="center"/>
    </xf>
    <xf numFmtId="0" fontId="17" fillId="2" borderId="8" xfId="3" applyFont="1" applyFill="1" applyBorder="1" applyAlignment="1">
      <alignment horizontal="center" vertical="center" wrapText="1"/>
    </xf>
    <xf numFmtId="170" fontId="17" fillId="2" borderId="53" xfId="3" applyNumberFormat="1" applyFont="1" applyFill="1" applyBorder="1" applyAlignment="1">
      <alignment horizontal="center" vertical="center"/>
    </xf>
    <xf numFmtId="0" fontId="22" fillId="2" borderId="22" xfId="3" applyFont="1" applyFill="1" applyBorder="1" applyAlignment="1">
      <alignment horizontal="center" vertical="center"/>
    </xf>
    <xf numFmtId="0" fontId="22" fillId="2" borderId="110" xfId="3" applyFont="1" applyFill="1" applyBorder="1" applyAlignment="1">
      <alignment horizontal="right" vertical="center"/>
    </xf>
    <xf numFmtId="0" fontId="22" fillId="2" borderId="23" xfId="3" applyFont="1" applyFill="1" applyBorder="1" applyAlignment="1">
      <alignment horizontal="center" vertical="center"/>
    </xf>
    <xf numFmtId="170" fontId="17" fillId="0" borderId="53" xfId="4" applyNumberFormat="1" applyFont="1" applyBorder="1" applyAlignment="1" applyProtection="1">
      <alignment horizontal="center" vertical="center"/>
      <protection locked="0"/>
    </xf>
    <xf numFmtId="0" fontId="9" fillId="2" borderId="56" xfId="3" applyFont="1" applyFill="1" applyBorder="1" applyAlignment="1">
      <alignment horizontal="center" vertical="center"/>
    </xf>
    <xf numFmtId="0" fontId="9" fillId="2" borderId="19" xfId="3" applyFont="1" applyFill="1" applyBorder="1" applyAlignment="1">
      <alignment horizontal="center" vertical="center"/>
    </xf>
    <xf numFmtId="0" fontId="9" fillId="2" borderId="60" xfId="3" applyFont="1" applyFill="1" applyBorder="1" applyAlignment="1">
      <alignment horizontal="center" vertical="center"/>
    </xf>
    <xf numFmtId="0" fontId="22" fillId="2" borderId="20" xfId="3" applyFont="1" applyFill="1" applyBorder="1" applyAlignment="1">
      <alignment horizontal="center" vertical="center"/>
    </xf>
    <xf numFmtId="170" fontId="9" fillId="0" borderId="61" xfId="4" applyNumberFormat="1" applyFont="1" applyBorder="1" applyAlignment="1" applyProtection="1">
      <alignment horizontal="center" vertical="center"/>
      <protection locked="0"/>
    </xf>
    <xf numFmtId="170" fontId="9" fillId="3" borderId="57" xfId="4" applyNumberFormat="1" applyFont="1" applyFill="1" applyBorder="1" applyAlignment="1">
      <alignment horizontal="center" vertical="center"/>
    </xf>
    <xf numFmtId="0" fontId="22" fillId="2" borderId="19" xfId="3" applyFont="1" applyFill="1" applyBorder="1" applyAlignment="1">
      <alignment horizontal="center" vertical="center"/>
    </xf>
    <xf numFmtId="0" fontId="22" fillId="2" borderId="60" xfId="3" applyFont="1" applyFill="1" applyBorder="1" applyAlignment="1">
      <alignment horizontal="right" vertical="center" wrapText="1"/>
    </xf>
    <xf numFmtId="170" fontId="22" fillId="0" borderId="61" xfId="4" applyNumberFormat="1" applyFont="1" applyBorder="1" applyAlignment="1" applyProtection="1">
      <alignment horizontal="center" vertical="center"/>
      <protection locked="0"/>
    </xf>
    <xf numFmtId="0" fontId="17" fillId="2" borderId="25" xfId="3" applyFont="1" applyFill="1" applyBorder="1" applyAlignment="1">
      <alignment horizontal="center" vertical="center" wrapText="1"/>
    </xf>
    <xf numFmtId="0" fontId="9" fillId="2" borderId="36" xfId="3" applyFont="1" applyFill="1" applyBorder="1" applyAlignment="1">
      <alignment horizontal="center" vertical="center"/>
    </xf>
    <xf numFmtId="0" fontId="9" fillId="2" borderId="50" xfId="3" applyFont="1" applyFill="1" applyBorder="1" applyAlignment="1">
      <alignment horizontal="center" vertical="center" wrapText="1"/>
    </xf>
    <xf numFmtId="170" fontId="9" fillId="0" borderId="51" xfId="4" applyNumberFormat="1" applyFont="1" applyBorder="1" applyAlignment="1" applyProtection="1">
      <alignment horizontal="center" vertical="center"/>
      <protection locked="0"/>
    </xf>
    <xf numFmtId="0" fontId="9" fillId="2" borderId="22" xfId="3" applyFont="1" applyFill="1" applyBorder="1" applyAlignment="1">
      <alignment horizontal="center" vertical="center"/>
    </xf>
    <xf numFmtId="0" fontId="9" fillId="2" borderId="110" xfId="3" applyFont="1" applyFill="1" applyBorder="1" applyAlignment="1">
      <alignment horizontal="center" vertical="center" wrapText="1"/>
    </xf>
    <xf numFmtId="0" fontId="9" fillId="2" borderId="20" xfId="3" applyFont="1" applyFill="1" applyBorder="1" applyAlignment="1">
      <alignment horizontal="center" vertical="center"/>
    </xf>
    <xf numFmtId="170" fontId="9" fillId="0" borderId="108" xfId="4" applyNumberFormat="1" applyFont="1" applyBorder="1" applyAlignment="1" applyProtection="1">
      <alignment horizontal="center" vertical="center"/>
      <protection locked="0"/>
    </xf>
    <xf numFmtId="0" fontId="17" fillId="2" borderId="66" xfId="3" applyFont="1" applyFill="1" applyBorder="1" applyAlignment="1">
      <alignment horizontal="center" vertical="center"/>
    </xf>
    <xf numFmtId="0" fontId="17" fillId="2" borderId="107" xfId="3" applyFont="1" applyFill="1" applyBorder="1" applyAlignment="1">
      <alignment horizontal="center" vertical="center"/>
    </xf>
    <xf numFmtId="172" fontId="17" fillId="2" borderId="67" xfId="3" applyNumberFormat="1" applyFont="1" applyFill="1" applyBorder="1" applyAlignment="1">
      <alignment horizontal="center" vertical="center"/>
    </xf>
    <xf numFmtId="1" fontId="17" fillId="3" borderId="65" xfId="4" applyNumberFormat="1" applyFont="1" applyFill="1" applyBorder="1" applyAlignment="1">
      <alignment horizontal="center" vertical="center"/>
    </xf>
    <xf numFmtId="0" fontId="17" fillId="2" borderId="7" xfId="3" applyFont="1" applyFill="1" applyBorder="1" applyAlignment="1">
      <alignment horizontal="center" vertical="center" wrapText="1"/>
    </xf>
    <xf numFmtId="2" fontId="17" fillId="3" borderId="12" xfId="4" applyNumberFormat="1" applyFont="1" applyFill="1" applyBorder="1" applyAlignment="1">
      <alignment horizontal="center" vertical="center" wrapText="1"/>
    </xf>
    <xf numFmtId="0" fontId="9" fillId="2" borderId="13" xfId="3" applyFont="1" applyFill="1" applyBorder="1" applyAlignment="1">
      <alignment horizontal="center" vertical="center" wrapText="1"/>
    </xf>
    <xf numFmtId="0" fontId="9" fillId="2" borderId="14" xfId="3" applyFont="1" applyFill="1" applyBorder="1" applyAlignment="1">
      <alignment horizontal="right" vertical="center" wrapText="1"/>
    </xf>
    <xf numFmtId="0" fontId="9" fillId="2" borderId="14" xfId="3" applyFont="1" applyFill="1" applyBorder="1" applyAlignment="1">
      <alignment horizontal="center" vertical="center" wrapText="1"/>
    </xf>
    <xf numFmtId="2" fontId="9" fillId="3" borderId="18" xfId="4" applyNumberFormat="1" applyFont="1" applyFill="1" applyBorder="1" applyAlignment="1">
      <alignment horizontal="center" vertical="center" wrapText="1"/>
    </xf>
    <xf numFmtId="0" fontId="7" fillId="2" borderId="16" xfId="3" applyFont="1" applyFill="1" applyBorder="1" applyAlignment="1">
      <alignment horizontal="center" vertical="center" wrapText="1"/>
    </xf>
    <xf numFmtId="0" fontId="7" fillId="2" borderId="17" xfId="3" applyFont="1" applyFill="1" applyBorder="1" applyAlignment="1">
      <alignment horizontal="right" vertical="center" wrapText="1"/>
    </xf>
    <xf numFmtId="0" fontId="7" fillId="2" borderId="17" xfId="3" applyFont="1" applyFill="1" applyBorder="1" applyAlignment="1">
      <alignment horizontal="center" vertical="center" wrapText="1"/>
    </xf>
    <xf numFmtId="0" fontId="42" fillId="2" borderId="17" xfId="3" applyFont="1" applyFill="1" applyBorder="1" applyAlignment="1">
      <alignment horizontal="right" vertical="center"/>
    </xf>
    <xf numFmtId="0" fontId="7" fillId="2" borderId="19" xfId="3" applyFont="1" applyFill="1" applyBorder="1" applyAlignment="1">
      <alignment horizontal="center" vertical="center" wrapText="1"/>
    </xf>
    <xf numFmtId="0" fontId="42" fillId="2" borderId="20" xfId="3" applyFont="1" applyFill="1" applyBorder="1" applyAlignment="1">
      <alignment horizontal="right" vertical="center"/>
    </xf>
    <xf numFmtId="0" fontId="7" fillId="2" borderId="20" xfId="3" applyFont="1" applyFill="1" applyBorder="1" applyAlignment="1">
      <alignment horizontal="center" vertical="center" wrapText="1"/>
    </xf>
    <xf numFmtId="0" fontId="42" fillId="2" borderId="19" xfId="3" applyFont="1" applyFill="1" applyBorder="1" applyAlignment="1">
      <alignment horizontal="center" vertical="center" wrapText="1"/>
    </xf>
    <xf numFmtId="2" fontId="9" fillId="3" borderId="35" xfId="4" applyNumberFormat="1" applyFont="1" applyFill="1" applyBorder="1" applyAlignment="1">
      <alignment horizontal="center" vertical="center" wrapText="1"/>
    </xf>
    <xf numFmtId="0" fontId="7" fillId="2" borderId="16" xfId="3" applyFont="1" applyFill="1" applyBorder="1" applyAlignment="1">
      <alignment horizontal="center" vertical="center"/>
    </xf>
    <xf numFmtId="0" fontId="7" fillId="2" borderId="56" xfId="3" applyFont="1" applyFill="1" applyBorder="1" applyAlignment="1">
      <alignment horizontal="right" vertical="center"/>
    </xf>
    <xf numFmtId="2" fontId="7" fillId="3" borderId="18" xfId="4" applyNumberFormat="1" applyFont="1" applyFill="1" applyBorder="1" applyAlignment="1">
      <alignment horizontal="center" vertical="center" wrapText="1"/>
    </xf>
    <xf numFmtId="0" fontId="7" fillId="2" borderId="17" xfId="3" applyFont="1" applyFill="1" applyBorder="1" applyAlignment="1">
      <alignment horizontal="right" vertical="center"/>
    </xf>
    <xf numFmtId="0" fontId="42" fillId="2" borderId="79" xfId="3" applyFont="1" applyFill="1" applyBorder="1" applyAlignment="1">
      <alignment horizontal="center" vertical="center"/>
    </xf>
    <xf numFmtId="0" fontId="42" fillId="2" borderId="116" xfId="3" applyFont="1" applyFill="1" applyBorder="1" applyAlignment="1">
      <alignment horizontal="right" vertical="center" wrapText="1"/>
    </xf>
    <xf numFmtId="0" fontId="7" fillId="2" borderId="72" xfId="3" applyFont="1" applyFill="1" applyBorder="1" applyAlignment="1">
      <alignment horizontal="center" vertical="center" wrapText="1"/>
    </xf>
    <xf numFmtId="2" fontId="7" fillId="3" borderId="32" xfId="4" applyNumberFormat="1" applyFont="1" applyFill="1" applyBorder="1" applyAlignment="1">
      <alignment horizontal="center" vertical="center" wrapText="1"/>
    </xf>
    <xf numFmtId="0" fontId="17" fillId="2" borderId="66" xfId="3" applyFont="1" applyFill="1" applyBorder="1" applyAlignment="1">
      <alignment horizontal="center" vertical="center" wrapText="1"/>
    </xf>
    <xf numFmtId="0" fontId="17" fillId="2" borderId="67" xfId="3" applyFont="1" applyFill="1" applyBorder="1" applyAlignment="1">
      <alignment horizontal="center" vertical="center" wrapText="1"/>
    </xf>
    <xf numFmtId="2" fontId="17" fillId="3" borderId="73" xfId="4" applyNumberFormat="1" applyFont="1" applyFill="1" applyBorder="1" applyAlignment="1">
      <alignment horizontal="center" vertical="center" wrapText="1"/>
    </xf>
    <xf numFmtId="3" fontId="9" fillId="0" borderId="21" xfId="4" applyNumberFormat="1" applyFont="1" applyBorder="1" applyAlignment="1" applyProtection="1">
      <alignment horizontal="center" vertical="center"/>
      <protection locked="0"/>
    </xf>
    <xf numFmtId="0" fontId="9" fillId="2" borderId="8" xfId="3" applyFont="1" applyFill="1" applyBorder="1" applyAlignment="1">
      <alignment horizontal="center" vertical="center"/>
    </xf>
    <xf numFmtId="3" fontId="9" fillId="0" borderId="9" xfId="4" applyNumberFormat="1" applyFont="1" applyBorder="1" applyAlignment="1" applyProtection="1">
      <alignment horizontal="center" vertical="center"/>
      <protection locked="0"/>
    </xf>
    <xf numFmtId="3" fontId="17" fillId="3" borderId="15" xfId="4" applyNumberFormat="1" applyFont="1" applyFill="1" applyBorder="1" applyAlignment="1">
      <alignment horizontal="center" vertical="center"/>
    </xf>
    <xf numFmtId="3" fontId="9" fillId="3" borderId="18" xfId="4" applyNumberFormat="1" applyFont="1" applyFill="1" applyBorder="1" applyAlignment="1">
      <alignment horizontal="center" vertical="center"/>
    </xf>
    <xf numFmtId="0" fontId="22" fillId="2" borderId="17" xfId="3" applyFont="1" applyFill="1" applyBorder="1" applyAlignment="1">
      <alignment horizontal="right" vertical="center"/>
    </xf>
    <xf numFmtId="3" fontId="22" fillId="0" borderId="18" xfId="4" applyNumberFormat="1" applyFont="1" applyBorder="1" applyAlignment="1" applyProtection="1">
      <alignment horizontal="center" vertical="center"/>
      <protection locked="0"/>
    </xf>
    <xf numFmtId="3" fontId="9" fillId="0" borderId="18" xfId="4" applyNumberFormat="1" applyFont="1" applyBorder="1" applyAlignment="1" applyProtection="1">
      <alignment horizontal="center" vertical="center"/>
      <protection locked="0"/>
    </xf>
    <xf numFmtId="0" fontId="9" fillId="2" borderId="23" xfId="3" applyFont="1" applyFill="1" applyBorder="1" applyAlignment="1">
      <alignment horizontal="center" vertical="center" wrapText="1"/>
    </xf>
    <xf numFmtId="0" fontId="9" fillId="2" borderId="23" xfId="3" applyFont="1" applyFill="1" applyBorder="1" applyAlignment="1">
      <alignment horizontal="center" vertical="center"/>
    </xf>
    <xf numFmtId="3" fontId="9" fillId="0" borderId="24" xfId="4" applyNumberFormat="1" applyFont="1" applyBorder="1" applyAlignment="1" applyProtection="1">
      <alignment horizontal="center" vertical="center"/>
      <protection locked="0"/>
    </xf>
    <xf numFmtId="0" fontId="9" fillId="2" borderId="38" xfId="3" applyFont="1" applyFill="1" applyBorder="1" applyAlignment="1">
      <alignment horizontal="center" vertical="center"/>
    </xf>
    <xf numFmtId="0" fontId="9" fillId="2" borderId="31" xfId="3" applyFont="1" applyFill="1" applyBorder="1" applyAlignment="1">
      <alignment horizontal="center" vertical="center" wrapText="1"/>
    </xf>
    <xf numFmtId="0" fontId="9" fillId="2" borderId="31" xfId="3" applyFont="1" applyFill="1" applyBorder="1" applyAlignment="1">
      <alignment horizontal="center" vertical="center"/>
    </xf>
    <xf numFmtId="3" fontId="9" fillId="0" borderId="32" xfId="4" applyNumberFormat="1" applyFont="1" applyBorder="1" applyAlignment="1" applyProtection="1">
      <alignment horizontal="center" vertical="center"/>
      <protection locked="0"/>
    </xf>
    <xf numFmtId="3" fontId="45" fillId="3" borderId="15" xfId="4" applyNumberFormat="1" applyFont="1" applyFill="1" applyBorder="1" applyAlignment="1">
      <alignment horizontal="center" vertical="center"/>
    </xf>
    <xf numFmtId="0" fontId="17" fillId="2" borderId="14" xfId="3" applyFont="1" applyFill="1" applyBorder="1" applyAlignment="1">
      <alignment horizontal="center" vertical="center" wrapText="1"/>
    </xf>
    <xf numFmtId="3" fontId="9" fillId="3" borderId="15" xfId="4" applyNumberFormat="1" applyFont="1" applyFill="1" applyBorder="1" applyAlignment="1">
      <alignment horizontal="center" vertical="center"/>
    </xf>
    <xf numFmtId="0" fontId="9" fillId="2" borderId="37" xfId="3" applyFont="1" applyFill="1" applyBorder="1" applyAlignment="1">
      <alignment horizontal="center" vertical="center"/>
    </xf>
    <xf numFmtId="3" fontId="9" fillId="0" borderId="28" xfId="4" applyNumberFormat="1" applyFont="1" applyBorder="1" applyAlignment="1" applyProtection="1">
      <alignment horizontal="center" vertical="center"/>
      <protection locked="0"/>
    </xf>
    <xf numFmtId="0" fontId="46" fillId="0" borderId="0" xfId="3" applyFont="1"/>
    <xf numFmtId="0" fontId="17" fillId="3" borderId="7" xfId="3" applyFont="1" applyFill="1" applyBorder="1" applyAlignment="1">
      <alignment horizontal="center" vertical="center"/>
    </xf>
    <xf numFmtId="0" fontId="6" fillId="3" borderId="8" xfId="3" applyFont="1" applyFill="1" applyBorder="1" applyAlignment="1">
      <alignment horizontal="center" vertical="center" wrapText="1"/>
    </xf>
    <xf numFmtId="3" fontId="6" fillId="3" borderId="9" xfId="3" applyNumberFormat="1" applyFont="1" applyFill="1" applyBorder="1" applyAlignment="1">
      <alignment horizontal="center" vertical="center" wrapText="1"/>
    </xf>
    <xf numFmtId="0" fontId="9" fillId="3" borderId="36" xfId="3" applyFont="1" applyFill="1" applyBorder="1" applyAlignment="1">
      <alignment horizontal="center" vertical="center"/>
    </xf>
    <xf numFmtId="170" fontId="9" fillId="0" borderId="37" xfId="3" applyNumberFormat="1" applyFont="1" applyBorder="1" applyAlignment="1" applyProtection="1">
      <alignment horizontal="center" vertical="center"/>
      <protection locked="0"/>
    </xf>
    <xf numFmtId="170" fontId="7" fillId="3" borderId="28" xfId="3" applyNumberFormat="1" applyFont="1" applyFill="1" applyBorder="1" applyAlignment="1">
      <alignment horizontal="center"/>
    </xf>
    <xf numFmtId="0" fontId="9" fillId="3" borderId="16" xfId="3" applyFont="1" applyFill="1" applyBorder="1" applyAlignment="1">
      <alignment horizontal="center" vertical="center"/>
    </xf>
    <xf numFmtId="170" fontId="9" fillId="0" borderId="17" xfId="3" applyNumberFormat="1" applyFont="1" applyBorder="1" applyAlignment="1" applyProtection="1">
      <alignment horizontal="center" vertical="center"/>
      <protection locked="0"/>
    </xf>
    <xf numFmtId="170" fontId="9" fillId="0" borderId="18" xfId="3" applyNumberFormat="1" applyFont="1" applyBorder="1" applyAlignment="1" applyProtection="1">
      <alignment horizontal="center" vertical="center"/>
      <protection locked="0"/>
    </xf>
    <xf numFmtId="0" fontId="9" fillId="3" borderId="38" xfId="3" applyFont="1" applyFill="1" applyBorder="1" applyAlignment="1">
      <alignment horizontal="center" vertical="center"/>
    </xf>
    <xf numFmtId="10" fontId="9" fillId="3" borderId="31" xfId="3" applyNumberFormat="1" applyFont="1" applyFill="1" applyBorder="1" applyAlignment="1">
      <alignment horizontal="center" vertical="center"/>
    </xf>
    <xf numFmtId="10" fontId="9" fillId="3" borderId="32" xfId="3" applyNumberFormat="1" applyFont="1" applyFill="1" applyBorder="1" applyAlignment="1">
      <alignment horizontal="center" vertical="center"/>
    </xf>
    <xf numFmtId="0" fontId="15" fillId="0" borderId="0" xfId="0" applyFont="1" applyAlignment="1">
      <alignment wrapText="1"/>
    </xf>
    <xf numFmtId="0" fontId="16" fillId="3" borderId="1" xfId="6" applyFont="1" applyFill="1" applyBorder="1" applyAlignment="1">
      <alignment horizontal="center" vertical="center"/>
    </xf>
    <xf numFmtId="0" fontId="17" fillId="3" borderId="42" xfId="6" applyFont="1" applyFill="1" applyBorder="1" applyAlignment="1">
      <alignment horizontal="center" vertical="center"/>
    </xf>
    <xf numFmtId="170" fontId="17" fillId="3" borderId="117" xfId="6" applyNumberFormat="1" applyFont="1" applyFill="1" applyBorder="1" applyAlignment="1">
      <alignment horizontal="center" vertical="center" wrapText="1"/>
    </xf>
    <xf numFmtId="3" fontId="17" fillId="3" borderId="9" xfId="6" applyNumberFormat="1" applyFont="1" applyFill="1" applyBorder="1" applyAlignment="1">
      <alignment horizontal="center" vertical="center" wrapText="1"/>
    </xf>
    <xf numFmtId="0" fontId="17" fillId="3" borderId="39" xfId="6" applyFont="1" applyFill="1" applyBorder="1" applyAlignment="1">
      <alignment horizontal="center" vertical="center"/>
    </xf>
    <xf numFmtId="0" fontId="17" fillId="3" borderId="40" xfId="6" applyFont="1" applyFill="1" applyBorder="1" applyAlignment="1">
      <alignment horizontal="center" vertical="center"/>
    </xf>
    <xf numFmtId="0" fontId="17" fillId="3" borderId="13" xfId="6" applyFont="1" applyFill="1" applyBorder="1" applyAlignment="1">
      <alignment horizontal="center" vertical="center"/>
    </xf>
    <xf numFmtId="0" fontId="17" fillId="3" borderId="14" xfId="6" applyFont="1" applyFill="1" applyBorder="1" applyAlignment="1">
      <alignment horizontal="center" vertical="center"/>
    </xf>
    <xf numFmtId="170" fontId="17" fillId="0" borderId="15" xfId="6" applyNumberFormat="1" applyFont="1" applyBorder="1" applyAlignment="1" applyProtection="1">
      <alignment horizontal="center" vertical="center"/>
      <protection locked="0"/>
    </xf>
    <xf numFmtId="0" fontId="17" fillId="3" borderId="16" xfId="6" applyFont="1" applyFill="1" applyBorder="1" applyAlignment="1">
      <alignment horizontal="center" vertical="center"/>
    </xf>
    <xf numFmtId="0" fontId="17" fillId="3" borderId="17" xfId="6" applyFont="1" applyFill="1" applyBorder="1" applyAlignment="1">
      <alignment horizontal="center" vertical="center"/>
    </xf>
    <xf numFmtId="0" fontId="17" fillId="3" borderId="37" xfId="6" applyFont="1" applyFill="1" applyBorder="1" applyAlignment="1">
      <alignment horizontal="center" vertical="center"/>
    </xf>
    <xf numFmtId="170" fontId="17" fillId="0" borderId="18" xfId="6" applyNumberFormat="1" applyFont="1" applyBorder="1" applyAlignment="1" applyProtection="1">
      <alignment horizontal="center" vertical="center"/>
      <protection locked="0"/>
    </xf>
    <xf numFmtId="0" fontId="9" fillId="3" borderId="16" xfId="6" applyFont="1" applyFill="1" applyBorder="1" applyAlignment="1">
      <alignment horizontal="center" vertical="center"/>
    </xf>
    <xf numFmtId="0" fontId="9" fillId="3" borderId="17" xfId="6" applyFont="1" applyFill="1" applyBorder="1" applyAlignment="1">
      <alignment horizontal="center" vertical="center"/>
    </xf>
    <xf numFmtId="170" fontId="9" fillId="0" borderId="18" xfId="6" applyNumberFormat="1" applyFont="1" applyBorder="1" applyAlignment="1" applyProtection="1">
      <alignment horizontal="center" vertical="center"/>
      <protection locked="0"/>
    </xf>
    <xf numFmtId="0" fontId="9" fillId="3" borderId="20" xfId="6" applyFont="1" applyFill="1" applyBorder="1" applyAlignment="1">
      <alignment horizontal="center" vertical="center"/>
    </xf>
    <xf numFmtId="0" fontId="9" fillId="3" borderId="38" xfId="6" applyFont="1" applyFill="1" applyBorder="1" applyAlignment="1">
      <alignment horizontal="center" vertical="center"/>
    </xf>
    <xf numFmtId="0" fontId="9" fillId="3" borderId="31" xfId="6" applyFont="1" applyFill="1" applyBorder="1" applyAlignment="1">
      <alignment horizontal="center" vertical="center"/>
    </xf>
    <xf numFmtId="170" fontId="9" fillId="0" borderId="32" xfId="6" applyNumberFormat="1" applyFont="1" applyBorder="1" applyAlignment="1" applyProtection="1">
      <alignment horizontal="center" vertical="center"/>
      <protection locked="0"/>
    </xf>
    <xf numFmtId="1" fontId="9" fillId="3" borderId="16" xfId="6" applyNumberFormat="1" applyFont="1" applyFill="1" applyBorder="1" applyAlignment="1">
      <alignment horizontal="center" vertical="center"/>
    </xf>
    <xf numFmtId="1" fontId="9" fillId="3" borderId="17" xfId="6" applyNumberFormat="1" applyFont="1" applyFill="1" applyBorder="1" applyAlignment="1">
      <alignment horizontal="right" vertical="center"/>
    </xf>
    <xf numFmtId="1" fontId="9" fillId="3" borderId="17" xfId="6" applyNumberFormat="1" applyFont="1" applyFill="1" applyBorder="1" applyAlignment="1">
      <alignment horizontal="center" vertical="center"/>
    </xf>
    <xf numFmtId="3" fontId="9" fillId="0" borderId="18" xfId="6" applyNumberFormat="1" applyFont="1" applyBorder="1" applyAlignment="1" applyProtection="1">
      <alignment horizontal="center" vertical="center"/>
      <protection locked="0"/>
    </xf>
    <xf numFmtId="0" fontId="9" fillId="3" borderId="17" xfId="6" applyFont="1" applyFill="1" applyBorder="1" applyAlignment="1">
      <alignment horizontal="right" vertical="center"/>
    </xf>
    <xf numFmtId="0" fontId="17" fillId="3" borderId="38" xfId="6" applyFont="1" applyFill="1" applyBorder="1" applyAlignment="1">
      <alignment horizontal="center" vertical="center"/>
    </xf>
    <xf numFmtId="0" fontId="17" fillId="3" borderId="31" xfId="6" applyFont="1" applyFill="1" applyBorder="1" applyAlignment="1">
      <alignment horizontal="right" vertical="center"/>
    </xf>
    <xf numFmtId="1" fontId="17" fillId="3" borderId="31" xfId="6" applyNumberFormat="1" applyFont="1" applyFill="1" applyBorder="1" applyAlignment="1">
      <alignment horizontal="center" vertical="center"/>
    </xf>
    <xf numFmtId="170" fontId="17" fillId="0" borderId="32" xfId="6" applyNumberFormat="1" applyFont="1" applyBorder="1" applyAlignment="1" applyProtection="1">
      <alignment horizontal="center" vertical="center"/>
      <protection locked="0"/>
    </xf>
    <xf numFmtId="0" fontId="17" fillId="3" borderId="17" xfId="6" applyFont="1" applyFill="1" applyBorder="1" applyAlignment="1">
      <alignment horizontal="right" vertical="center"/>
    </xf>
    <xf numFmtId="3" fontId="17" fillId="0" borderId="18" xfId="6" applyNumberFormat="1" applyFont="1" applyBorder="1" applyAlignment="1" applyProtection="1">
      <alignment horizontal="center" vertical="center"/>
      <protection locked="0"/>
    </xf>
    <xf numFmtId="0" fontId="17" fillId="3" borderId="16" xfId="6" applyFont="1" applyFill="1" applyBorder="1" applyAlignment="1">
      <alignment horizontal="center" vertical="center" wrapText="1"/>
    </xf>
    <xf numFmtId="0" fontId="9" fillId="3" borderId="16" xfId="6" applyFont="1" applyFill="1" applyBorder="1" applyAlignment="1">
      <alignment horizontal="center" vertical="center" wrapText="1"/>
    </xf>
    <xf numFmtId="0" fontId="9" fillId="3" borderId="17" xfId="6" applyFont="1" applyFill="1" applyBorder="1" applyAlignment="1">
      <alignment horizontal="right" vertical="center" wrapText="1"/>
    </xf>
    <xf numFmtId="0" fontId="9" fillId="3" borderId="50" xfId="6" applyFont="1" applyFill="1" applyBorder="1" applyAlignment="1">
      <alignment horizontal="right" vertical="center"/>
    </xf>
    <xf numFmtId="0" fontId="17" fillId="3" borderId="50" xfId="6" applyFont="1" applyFill="1" applyBorder="1" applyAlignment="1">
      <alignment horizontal="right" vertical="center"/>
    </xf>
    <xf numFmtId="0" fontId="22" fillId="3" borderId="17" xfId="6" applyFont="1" applyFill="1" applyBorder="1" applyAlignment="1">
      <alignment horizontal="right" vertical="center"/>
    </xf>
    <xf numFmtId="0" fontId="22" fillId="3" borderId="17" xfId="6" applyFont="1" applyFill="1" applyBorder="1" applyAlignment="1">
      <alignment horizontal="center" vertical="center"/>
    </xf>
    <xf numFmtId="170" fontId="22" fillId="0" borderId="18" xfId="6" applyNumberFormat="1" applyFont="1" applyBorder="1" applyAlignment="1" applyProtection="1">
      <alignment horizontal="center" vertical="center"/>
      <protection locked="0"/>
    </xf>
    <xf numFmtId="1" fontId="17" fillId="3" borderId="17" xfId="6" applyNumberFormat="1" applyFont="1" applyFill="1" applyBorder="1" applyAlignment="1">
      <alignment horizontal="center" vertical="center"/>
    </xf>
    <xf numFmtId="0" fontId="9" fillId="3" borderId="37" xfId="6" applyFont="1" applyFill="1" applyBorder="1" applyAlignment="1">
      <alignment horizontal="center" vertical="center"/>
    </xf>
    <xf numFmtId="170" fontId="9" fillId="3" borderId="18" xfId="6" applyNumberFormat="1" applyFont="1" applyFill="1" applyBorder="1" applyAlignment="1">
      <alignment horizontal="center" vertical="center"/>
    </xf>
    <xf numFmtId="0" fontId="22" fillId="3" borderId="16" xfId="6" applyFont="1" applyFill="1" applyBorder="1" applyAlignment="1">
      <alignment horizontal="center" vertical="center"/>
    </xf>
    <xf numFmtId="3" fontId="9" fillId="3" borderId="18" xfId="6" applyNumberFormat="1" applyFont="1" applyFill="1" applyBorder="1" applyAlignment="1">
      <alignment horizontal="center" vertical="center"/>
    </xf>
    <xf numFmtId="3" fontId="22" fillId="0" borderId="18" xfId="6" applyNumberFormat="1" applyFont="1" applyBorder="1" applyAlignment="1" applyProtection="1">
      <alignment horizontal="center" vertical="center"/>
      <protection locked="0"/>
    </xf>
    <xf numFmtId="3" fontId="9" fillId="0" borderId="32" xfId="6" applyNumberFormat="1" applyFont="1" applyBorder="1" applyAlignment="1" applyProtection="1">
      <alignment horizontal="center" vertical="center"/>
      <protection locked="0"/>
    </xf>
    <xf numFmtId="0" fontId="9" fillId="3" borderId="118" xfId="6" applyFont="1" applyFill="1" applyBorder="1" applyAlignment="1">
      <alignment horizontal="right" vertical="center"/>
    </xf>
    <xf numFmtId="3" fontId="9" fillId="0" borderId="28" xfId="6" applyNumberFormat="1" applyFont="1" applyBorder="1" applyAlignment="1" applyProtection="1">
      <alignment horizontal="center" vertical="center"/>
      <protection locked="0"/>
    </xf>
    <xf numFmtId="0" fontId="9" fillId="3" borderId="119" xfId="6" applyFont="1" applyFill="1" applyBorder="1" applyAlignment="1">
      <alignment horizontal="right" vertical="center"/>
    </xf>
    <xf numFmtId="0" fontId="9" fillId="3" borderId="119" xfId="6" applyFont="1" applyFill="1" applyBorder="1" applyAlignment="1">
      <alignment horizontal="center" vertical="center"/>
    </xf>
    <xf numFmtId="0" fontId="9" fillId="3" borderId="19" xfId="6" applyFont="1" applyFill="1" applyBorder="1" applyAlignment="1">
      <alignment horizontal="center" vertical="center"/>
    </xf>
    <xf numFmtId="0" fontId="9" fillId="3" borderId="120" xfId="6" applyFont="1" applyFill="1" applyBorder="1" applyAlignment="1">
      <alignment horizontal="center" vertical="center"/>
    </xf>
    <xf numFmtId="3" fontId="9" fillId="0" borderId="21" xfId="6" applyNumberFormat="1" applyFont="1" applyBorder="1" applyAlignment="1" applyProtection="1">
      <alignment horizontal="center" vertical="center"/>
      <protection locked="0"/>
    </xf>
    <xf numFmtId="0" fontId="53" fillId="3" borderId="16" xfId="6" applyFont="1" applyFill="1" applyBorder="1" applyAlignment="1">
      <alignment horizontal="center" vertical="center"/>
    </xf>
    <xf numFmtId="0" fontId="53" fillId="3" borderId="58" xfId="6" applyFont="1" applyFill="1" applyBorder="1" applyAlignment="1">
      <alignment horizontal="right" vertical="center"/>
    </xf>
    <xf numFmtId="0" fontId="53" fillId="3" borderId="58" xfId="6" applyFont="1" applyFill="1" applyBorder="1" applyAlignment="1">
      <alignment vertical="center"/>
    </xf>
    <xf numFmtId="3" fontId="9" fillId="3" borderId="57" xfId="6" applyNumberFormat="1" applyFont="1" applyFill="1" applyBorder="1" applyAlignment="1">
      <alignment horizontal="center" vertical="center"/>
    </xf>
    <xf numFmtId="0" fontId="9" fillId="3" borderId="36" xfId="6" applyFont="1" applyFill="1" applyBorder="1" applyAlignment="1">
      <alignment horizontal="center" vertical="center"/>
    </xf>
    <xf numFmtId="170" fontId="9" fillId="0" borderId="28" xfId="6" applyNumberFormat="1" applyFont="1" applyBorder="1" applyAlignment="1" applyProtection="1">
      <alignment horizontal="center" vertical="center"/>
      <protection locked="0"/>
    </xf>
    <xf numFmtId="0" fontId="9" fillId="3" borderId="120" xfId="6" applyFont="1" applyFill="1" applyBorder="1" applyAlignment="1">
      <alignment horizontal="right" vertical="center"/>
    </xf>
    <xf numFmtId="170" fontId="9" fillId="0" borderId="21" xfId="6" applyNumberFormat="1" applyFont="1" applyBorder="1" applyAlignment="1" applyProtection="1">
      <alignment horizontal="center" vertical="center"/>
      <protection locked="0"/>
    </xf>
    <xf numFmtId="170" fontId="9" fillId="3" borderId="57" xfId="6" applyNumberFormat="1" applyFont="1" applyFill="1" applyBorder="1" applyAlignment="1">
      <alignment horizontal="center" vertical="center"/>
    </xf>
    <xf numFmtId="0" fontId="53" fillId="3" borderId="22" xfId="6" applyFont="1" applyFill="1" applyBorder="1" applyAlignment="1">
      <alignment horizontal="center" vertical="center"/>
    </xf>
    <xf numFmtId="3" fontId="9" fillId="3" borderId="108" xfId="6" applyNumberFormat="1" applyFont="1" applyFill="1" applyBorder="1" applyAlignment="1">
      <alignment horizontal="center" vertical="center"/>
    </xf>
    <xf numFmtId="170" fontId="9" fillId="3" borderId="21" xfId="6" applyNumberFormat="1" applyFont="1" applyFill="1" applyBorder="1" applyAlignment="1">
      <alignment horizontal="center" vertical="center"/>
    </xf>
    <xf numFmtId="0" fontId="9" fillId="3" borderId="30" xfId="6" applyFont="1" applyFill="1" applyBorder="1" applyAlignment="1">
      <alignment horizontal="center" vertical="center"/>
    </xf>
    <xf numFmtId="0" fontId="9" fillId="3" borderId="106" xfId="6" applyFont="1" applyFill="1" applyBorder="1" applyAlignment="1">
      <alignment horizontal="center" vertical="center"/>
    </xf>
    <xf numFmtId="170" fontId="9" fillId="3" borderId="32" xfId="6" applyNumberFormat="1" applyFont="1" applyFill="1" applyBorder="1" applyAlignment="1">
      <alignment horizontal="center" vertical="center"/>
    </xf>
    <xf numFmtId="0" fontId="9" fillId="3" borderId="13" xfId="6" applyFont="1" applyFill="1" applyBorder="1" applyAlignment="1">
      <alignment horizontal="center" vertical="center"/>
    </xf>
    <xf numFmtId="0" fontId="9" fillId="3" borderId="55" xfId="6" applyFont="1" applyFill="1" applyBorder="1" applyAlignment="1">
      <alignment horizontal="center" vertical="center"/>
    </xf>
    <xf numFmtId="170" fontId="9" fillId="0" borderId="15" xfId="6" applyNumberFormat="1" applyFont="1" applyBorder="1" applyAlignment="1" applyProtection="1">
      <alignment horizontal="center" vertical="center"/>
      <protection locked="0"/>
    </xf>
    <xf numFmtId="0" fontId="22" fillId="3" borderId="19" xfId="6" applyFont="1" applyFill="1" applyBorder="1" applyAlignment="1">
      <alignment horizontal="center" vertical="center"/>
    </xf>
    <xf numFmtId="0" fontId="22" fillId="3" borderId="120" xfId="6" applyFont="1" applyFill="1" applyBorder="1" applyAlignment="1">
      <alignment horizontal="center" vertical="center"/>
    </xf>
    <xf numFmtId="0" fontId="22" fillId="3" borderId="20" xfId="6" applyFont="1" applyFill="1" applyBorder="1" applyAlignment="1">
      <alignment horizontal="center" vertical="center"/>
    </xf>
    <xf numFmtId="0" fontId="9" fillId="3" borderId="55" xfId="6" applyFont="1" applyFill="1" applyBorder="1" applyAlignment="1">
      <alignment vertical="center"/>
    </xf>
    <xf numFmtId="0" fontId="9" fillId="3" borderId="58" xfId="6" applyFont="1" applyFill="1" applyBorder="1" applyAlignment="1">
      <alignment vertical="center"/>
    </xf>
    <xf numFmtId="170" fontId="22" fillId="3" borderId="17" xfId="6" applyNumberFormat="1" applyFont="1" applyFill="1" applyBorder="1" applyAlignment="1">
      <alignment horizontal="center" vertical="center"/>
    </xf>
    <xf numFmtId="173" fontId="9" fillId="0" borderId="18" xfId="6" applyNumberFormat="1" applyFont="1" applyBorder="1" applyAlignment="1" applyProtection="1">
      <alignment horizontal="center" vertical="center"/>
      <protection locked="0"/>
    </xf>
    <xf numFmtId="0" fontId="9" fillId="3" borderId="22" xfId="6" applyFont="1" applyFill="1" applyBorder="1" applyAlignment="1">
      <alignment horizontal="center" vertical="center"/>
    </xf>
    <xf numFmtId="0" fontId="9" fillId="3" borderId="121" xfId="6" applyFont="1" applyFill="1" applyBorder="1" applyAlignment="1">
      <alignment horizontal="left" vertical="center"/>
    </xf>
    <xf numFmtId="0" fontId="9" fillId="3" borderId="23" xfId="6" applyFont="1" applyFill="1" applyBorder="1" applyAlignment="1">
      <alignment horizontal="center" vertical="center"/>
    </xf>
    <xf numFmtId="3" fontId="9" fillId="0" borderId="24" xfId="6" applyNumberFormat="1" applyFont="1" applyBorder="1" applyAlignment="1" applyProtection="1">
      <alignment horizontal="center" vertical="center"/>
      <protection locked="0"/>
    </xf>
    <xf numFmtId="0" fontId="53" fillId="3" borderId="13" xfId="6" applyFont="1" applyFill="1" applyBorder="1" applyAlignment="1">
      <alignment horizontal="center" vertical="center"/>
    </xf>
    <xf numFmtId="0" fontId="53" fillId="3" borderId="55" xfId="6" applyFont="1" applyFill="1" applyBorder="1" applyAlignment="1">
      <alignment horizontal="right" vertical="center"/>
    </xf>
    <xf numFmtId="4" fontId="17" fillId="3" borderId="53" xfId="6" applyNumberFormat="1" applyFont="1" applyFill="1" applyBorder="1" applyAlignment="1">
      <alignment horizontal="center" vertical="center"/>
    </xf>
    <xf numFmtId="0" fontId="9" fillId="3" borderId="52" xfId="6" applyFont="1" applyFill="1" applyBorder="1" applyAlignment="1">
      <alignment vertical="center"/>
    </xf>
    <xf numFmtId="0" fontId="9" fillId="3" borderId="0" xfId="6" applyFont="1" applyFill="1" applyAlignment="1">
      <alignment vertical="center"/>
    </xf>
    <xf numFmtId="0" fontId="9" fillId="3" borderId="120" xfId="6" applyFont="1" applyFill="1" applyBorder="1" applyAlignment="1">
      <alignment horizontal="left" vertical="center"/>
    </xf>
    <xf numFmtId="170" fontId="9" fillId="3" borderId="53" xfId="6" applyNumberFormat="1" applyFont="1" applyFill="1" applyBorder="1" applyAlignment="1">
      <alignment horizontal="center" vertical="center"/>
    </xf>
    <xf numFmtId="3" fontId="22" fillId="3" borderId="53" xfId="6" applyNumberFormat="1" applyFont="1" applyFill="1" applyBorder="1" applyAlignment="1">
      <alignment horizontal="center" vertical="center"/>
    </xf>
    <xf numFmtId="0" fontId="9" fillId="3" borderId="119" xfId="6" applyFont="1" applyFill="1" applyBorder="1" applyAlignment="1">
      <alignment horizontal="left" vertical="center"/>
    </xf>
    <xf numFmtId="0" fontId="53" fillId="3" borderId="122" xfId="6" applyFont="1" applyFill="1" applyBorder="1" applyAlignment="1">
      <alignment horizontal="right" vertical="center"/>
    </xf>
    <xf numFmtId="0" fontId="53" fillId="3" borderId="14" xfId="6" applyFont="1" applyFill="1" applyBorder="1" applyAlignment="1">
      <alignment horizontal="right" vertical="center"/>
    </xf>
    <xf numFmtId="170" fontId="9" fillId="3" borderId="15" xfId="6" applyNumberFormat="1" applyFont="1" applyFill="1" applyBorder="1" applyAlignment="1">
      <alignment horizontal="center" vertical="center"/>
    </xf>
    <xf numFmtId="0" fontId="9" fillId="3" borderId="52" xfId="6" applyFont="1" applyFill="1" applyBorder="1" applyAlignment="1">
      <alignment horizontal="left" vertical="center"/>
    </xf>
    <xf numFmtId="0" fontId="9" fillId="3" borderId="58" xfId="6" applyFont="1" applyFill="1" applyBorder="1" applyAlignment="1">
      <alignment horizontal="left" vertical="center"/>
    </xf>
    <xf numFmtId="0" fontId="9" fillId="3" borderId="62" xfId="6" applyFont="1" applyFill="1" applyBorder="1" applyAlignment="1">
      <alignment horizontal="left" vertical="center"/>
    </xf>
    <xf numFmtId="16" fontId="9" fillId="3" borderId="16" xfId="6" applyNumberFormat="1" applyFont="1" applyFill="1" applyBorder="1" applyAlignment="1">
      <alignment horizontal="center" vertical="center"/>
    </xf>
    <xf numFmtId="0" fontId="9" fillId="3" borderId="123" xfId="6" applyFont="1" applyFill="1" applyBorder="1" applyAlignment="1">
      <alignment horizontal="left" vertical="center"/>
    </xf>
    <xf numFmtId="0" fontId="9" fillId="3" borderId="25" xfId="6" applyFont="1" applyFill="1" applyBorder="1" applyAlignment="1">
      <alignment horizontal="left" vertical="center"/>
    </xf>
    <xf numFmtId="170" fontId="9" fillId="3" borderId="14" xfId="6" applyNumberFormat="1" applyFont="1" applyFill="1" applyBorder="1" applyAlignment="1">
      <alignment horizontal="center" vertical="center"/>
    </xf>
    <xf numFmtId="3" fontId="9" fillId="3" borderId="15" xfId="6" applyNumberFormat="1" applyFont="1" applyFill="1" applyBorder="1" applyAlignment="1">
      <alignment horizontal="center" vertical="center"/>
    </xf>
    <xf numFmtId="170" fontId="9" fillId="3" borderId="17" xfId="6" applyNumberFormat="1" applyFont="1" applyFill="1" applyBorder="1" applyAlignment="1">
      <alignment horizontal="center" vertical="center"/>
    </xf>
    <xf numFmtId="0" fontId="22" fillId="3" borderId="38" xfId="6" applyFont="1" applyFill="1" applyBorder="1" applyAlignment="1">
      <alignment horizontal="center" vertical="center"/>
    </xf>
    <xf numFmtId="0" fontId="22" fillId="3" borderId="31" xfId="6" applyFont="1" applyFill="1" applyBorder="1" applyAlignment="1">
      <alignment horizontal="right" vertical="center"/>
    </xf>
    <xf numFmtId="170" fontId="22" fillId="3" borderId="31" xfId="6" applyNumberFormat="1" applyFont="1" applyFill="1" applyBorder="1" applyAlignment="1">
      <alignment horizontal="center" vertical="center"/>
    </xf>
    <xf numFmtId="3" fontId="22" fillId="0" borderId="32" xfId="6" applyNumberFormat="1" applyFont="1" applyBorder="1" applyAlignment="1" applyProtection="1">
      <alignment horizontal="center" vertical="center"/>
      <protection locked="0"/>
    </xf>
    <xf numFmtId="0" fontId="9" fillId="0" borderId="0" xfId="3" applyFont="1" applyAlignment="1" applyProtection="1">
      <alignment horizontal="center" vertical="center"/>
      <protection locked="0"/>
    </xf>
    <xf numFmtId="3" fontId="9" fillId="0" borderId="0" xfId="3" applyNumberFormat="1" applyFont="1" applyAlignment="1" applyProtection="1">
      <alignment horizontal="center" vertical="center"/>
      <protection locked="0"/>
    </xf>
    <xf numFmtId="1" fontId="17" fillId="0" borderId="0" xfId="3" applyNumberFormat="1" applyFont="1" applyAlignment="1">
      <alignment horizontal="center" vertical="center"/>
    </xf>
    <xf numFmtId="0" fontId="14" fillId="0" borderId="0" xfId="3" applyFont="1" applyAlignment="1">
      <alignment horizontal="right"/>
    </xf>
    <xf numFmtId="0" fontId="54" fillId="0" borderId="0" xfId="3" applyFont="1"/>
    <xf numFmtId="0" fontId="17" fillId="2" borderId="1" xfId="3" applyFont="1" applyFill="1" applyBorder="1" applyAlignment="1" applyProtection="1">
      <alignment horizontal="center" vertical="center"/>
      <protection locked="0"/>
    </xf>
    <xf numFmtId="170" fontId="17" fillId="2" borderId="1" xfId="3" applyNumberFormat="1" applyFont="1" applyFill="1" applyBorder="1" applyAlignment="1" applyProtection="1">
      <alignment horizontal="center" vertical="center" wrapText="1"/>
      <protection locked="0"/>
    </xf>
    <xf numFmtId="3" fontId="17" fillId="2" borderId="40" xfId="3" applyNumberFormat="1" applyFont="1" applyFill="1" applyBorder="1" applyAlignment="1" applyProtection="1">
      <alignment horizontal="center" vertical="center"/>
      <protection locked="0"/>
    </xf>
    <xf numFmtId="3" fontId="17" fillId="2" borderId="1" xfId="3" applyNumberFormat="1" applyFont="1" applyFill="1" applyBorder="1" applyAlignment="1" applyProtection="1">
      <alignment horizontal="center" vertical="center"/>
      <protection locked="0"/>
    </xf>
    <xf numFmtId="3" fontId="17" fillId="2" borderId="39" xfId="3" applyNumberFormat="1" applyFont="1" applyFill="1" applyBorder="1" applyAlignment="1" applyProtection="1">
      <alignment horizontal="center" vertical="center" wrapText="1"/>
      <protection locked="0"/>
    </xf>
    <xf numFmtId="4" fontId="17" fillId="2" borderId="1" xfId="3" applyNumberFormat="1" applyFont="1" applyFill="1" applyBorder="1" applyAlignment="1" applyProtection="1">
      <alignment horizontal="center" vertical="center"/>
      <protection locked="0"/>
    </xf>
    <xf numFmtId="0" fontId="17" fillId="2" borderId="59" xfId="3" applyFont="1" applyFill="1" applyBorder="1" applyAlignment="1" applyProtection="1">
      <alignment horizontal="center" vertical="center"/>
      <protection locked="0"/>
    </xf>
    <xf numFmtId="4" fontId="17" fillId="2" borderId="59" xfId="3" applyNumberFormat="1" applyFont="1" applyFill="1" applyBorder="1" applyAlignment="1" applyProtection="1">
      <alignment horizontal="center" vertical="center"/>
      <protection locked="0"/>
    </xf>
    <xf numFmtId="3" fontId="17" fillId="2" borderId="59" xfId="3" applyNumberFormat="1" applyFont="1" applyFill="1" applyBorder="1" applyAlignment="1" applyProtection="1">
      <alignment horizontal="center" vertical="center"/>
      <protection locked="0"/>
    </xf>
    <xf numFmtId="0" fontId="17" fillId="2" borderId="124" xfId="3" applyFont="1" applyFill="1" applyBorder="1" applyAlignment="1" applyProtection="1">
      <alignment horizontal="center" vertical="center"/>
      <protection locked="0"/>
    </xf>
    <xf numFmtId="4" fontId="17" fillId="2" borderId="124" xfId="3" applyNumberFormat="1" applyFont="1" applyFill="1" applyBorder="1" applyAlignment="1" applyProtection="1">
      <alignment horizontal="center" vertical="center"/>
      <protection locked="0"/>
    </xf>
    <xf numFmtId="3" fontId="17" fillId="2" borderId="124" xfId="3" applyNumberFormat="1" applyFont="1" applyFill="1" applyBorder="1" applyAlignment="1" applyProtection="1">
      <alignment horizontal="center" vertical="center"/>
      <protection locked="0"/>
    </xf>
    <xf numFmtId="0" fontId="53" fillId="2" borderId="4" xfId="3" applyFont="1" applyFill="1" applyBorder="1" applyAlignment="1" applyProtection="1">
      <alignment horizontal="center" vertical="center"/>
      <protection locked="0"/>
    </xf>
    <xf numFmtId="0" fontId="17" fillId="2" borderId="4" xfId="3" applyFont="1" applyFill="1" applyBorder="1" applyAlignment="1" applyProtection="1">
      <alignment horizontal="center" vertical="center"/>
      <protection locked="0"/>
    </xf>
    <xf numFmtId="4" fontId="17" fillId="2" borderId="4" xfId="3" applyNumberFormat="1" applyFont="1" applyFill="1" applyBorder="1" applyAlignment="1" applyProtection="1">
      <alignment horizontal="center" vertical="center"/>
      <protection locked="0"/>
    </xf>
    <xf numFmtId="3" fontId="17" fillId="2" borderId="4" xfId="3" applyNumberFormat="1" applyFont="1" applyFill="1" applyBorder="1" applyAlignment="1" applyProtection="1">
      <alignment horizontal="center" vertical="center"/>
      <protection locked="0"/>
    </xf>
    <xf numFmtId="0" fontId="9" fillId="2" borderId="2" xfId="3" applyFont="1" applyFill="1" applyBorder="1" applyAlignment="1" applyProtection="1">
      <alignment horizontal="center" vertical="center"/>
      <protection locked="0"/>
    </xf>
    <xf numFmtId="0" fontId="9" fillId="2" borderId="2" xfId="3" applyFont="1" applyFill="1" applyBorder="1" applyAlignment="1" applyProtection="1">
      <alignment horizontal="right" vertical="center"/>
      <protection locked="0"/>
    </xf>
    <xf numFmtId="4" fontId="9" fillId="0" borderId="2" xfId="3" applyNumberFormat="1" applyFont="1" applyBorder="1" applyAlignment="1" applyProtection="1">
      <alignment horizontal="center" vertical="center"/>
      <protection locked="0"/>
    </xf>
    <xf numFmtId="3" fontId="17" fillId="2" borderId="2" xfId="3" applyNumberFormat="1" applyFont="1" applyFill="1" applyBorder="1" applyAlignment="1" applyProtection="1">
      <alignment horizontal="center" vertical="center"/>
      <protection locked="0"/>
    </xf>
    <xf numFmtId="0" fontId="9" fillId="2" borderId="3" xfId="3" applyFont="1" applyFill="1" applyBorder="1" applyAlignment="1" applyProtection="1">
      <alignment horizontal="center" vertical="center"/>
      <protection locked="0"/>
    </xf>
    <xf numFmtId="0" fontId="9" fillId="2" borderId="3" xfId="3" applyFont="1" applyFill="1" applyBorder="1" applyAlignment="1" applyProtection="1">
      <alignment horizontal="right" vertical="center"/>
      <protection locked="0"/>
    </xf>
    <xf numFmtId="4" fontId="9" fillId="0" borderId="3" xfId="3" applyNumberFormat="1" applyFont="1" applyBorder="1" applyAlignment="1" applyProtection="1">
      <alignment horizontal="center" vertical="center"/>
      <protection locked="0"/>
    </xf>
    <xf numFmtId="3" fontId="17" fillId="2" borderId="3" xfId="3" applyNumberFormat="1" applyFont="1" applyFill="1" applyBorder="1" applyAlignment="1" applyProtection="1">
      <alignment horizontal="center" vertical="center"/>
      <protection locked="0"/>
    </xf>
    <xf numFmtId="0" fontId="53" fillId="2" borderId="4" xfId="3" applyFont="1" applyFill="1" applyBorder="1" applyAlignment="1" applyProtection="1">
      <alignment horizontal="center" vertical="center" wrapText="1"/>
      <protection locked="0"/>
    </xf>
    <xf numFmtId="0" fontId="17" fillId="2" borderId="4" xfId="3" applyFont="1" applyFill="1" applyBorder="1" applyAlignment="1" applyProtection="1">
      <alignment horizontal="center" vertical="center" wrapText="1"/>
      <protection locked="0"/>
    </xf>
    <xf numFmtId="4" fontId="17" fillId="2" borderId="4" xfId="3" applyNumberFormat="1" applyFont="1" applyFill="1" applyBorder="1" applyAlignment="1" applyProtection="1">
      <alignment horizontal="center" vertical="center" wrapText="1"/>
      <protection locked="0"/>
    </xf>
    <xf numFmtId="3" fontId="17" fillId="2" borderId="4" xfId="3" applyNumberFormat="1" applyFont="1" applyFill="1" applyBorder="1" applyAlignment="1" applyProtection="1">
      <alignment horizontal="center" vertical="center" wrapText="1"/>
      <protection locked="0"/>
    </xf>
    <xf numFmtId="0" fontId="53" fillId="2" borderId="1" xfId="3" applyFont="1" applyFill="1" applyBorder="1" applyAlignment="1" applyProtection="1">
      <alignment horizontal="center" vertical="center"/>
      <protection locked="0"/>
    </xf>
    <xf numFmtId="0" fontId="9" fillId="2" borderId="1" xfId="3" applyFont="1" applyFill="1" applyBorder="1" applyAlignment="1" applyProtection="1">
      <alignment horizontal="center" vertical="center"/>
      <protection locked="0"/>
    </xf>
    <xf numFmtId="4" fontId="17" fillId="0" borderId="1" xfId="3" applyNumberFormat="1" applyFont="1" applyBorder="1" applyAlignment="1" applyProtection="1">
      <alignment horizontal="center" vertical="center"/>
      <protection locked="0"/>
    </xf>
    <xf numFmtId="0" fontId="53" fillId="2" borderId="1" xfId="3" applyFont="1" applyFill="1" applyBorder="1" applyAlignment="1" applyProtection="1">
      <alignment horizontal="center" vertical="center" wrapText="1"/>
      <protection locked="0"/>
    </xf>
    <xf numFmtId="0" fontId="17" fillId="2" borderId="1" xfId="3" applyFont="1" applyFill="1" applyBorder="1" applyAlignment="1" applyProtection="1">
      <alignment horizontal="center" vertical="center" wrapText="1"/>
      <protection locked="0"/>
    </xf>
    <xf numFmtId="4" fontId="17" fillId="0" borderId="124" xfId="3" applyNumberFormat="1" applyFont="1" applyBorder="1" applyAlignment="1" applyProtection="1">
      <alignment horizontal="center" vertical="center"/>
      <protection locked="0"/>
    </xf>
    <xf numFmtId="0" fontId="17" fillId="2" borderId="42" xfId="3" applyFont="1" applyFill="1" applyBorder="1" applyAlignment="1" applyProtection="1">
      <alignment horizontal="center" vertical="center"/>
      <protection locked="0"/>
    </xf>
    <xf numFmtId="0" fontId="17" fillId="2" borderId="5" xfId="3" applyFont="1" applyFill="1" applyBorder="1" applyAlignment="1" applyProtection="1">
      <alignment horizontal="center" vertical="center"/>
      <protection locked="0"/>
    </xf>
    <xf numFmtId="3" fontId="17" fillId="2" borderId="5" xfId="3" applyNumberFormat="1" applyFont="1" applyFill="1" applyBorder="1" applyAlignment="1" applyProtection="1">
      <alignment horizontal="center" vertical="center"/>
      <protection locked="0"/>
    </xf>
    <xf numFmtId="0" fontId="53" fillId="2" borderId="6" xfId="3" applyFont="1" applyFill="1" applyBorder="1" applyAlignment="1" applyProtection="1">
      <alignment horizontal="center" vertical="center" wrapText="1"/>
      <protection locked="0"/>
    </xf>
    <xf numFmtId="0" fontId="53" fillId="2" borderId="6" xfId="3" applyFont="1" applyFill="1" applyBorder="1" applyAlignment="1" applyProtection="1">
      <alignment horizontal="right" vertical="center" wrapText="1"/>
      <protection locked="0"/>
    </xf>
    <xf numFmtId="3" fontId="53" fillId="2" borderId="6" xfId="3" applyNumberFormat="1" applyFont="1" applyFill="1" applyBorder="1" applyAlignment="1" applyProtection="1">
      <alignment horizontal="center" vertical="center" wrapText="1"/>
      <protection locked="0"/>
    </xf>
    <xf numFmtId="3" fontId="53" fillId="2" borderId="4" xfId="3" applyNumberFormat="1" applyFont="1" applyFill="1" applyBorder="1" applyAlignment="1" applyProtection="1">
      <alignment horizontal="center" vertical="center" wrapText="1"/>
      <protection locked="0"/>
    </xf>
    <xf numFmtId="0" fontId="53" fillId="2" borderId="6" xfId="3" applyFont="1" applyFill="1" applyBorder="1" applyAlignment="1" applyProtection="1">
      <alignment horizontal="center" vertical="center"/>
      <protection locked="0"/>
    </xf>
    <xf numFmtId="0" fontId="17" fillId="2" borderId="4" xfId="3" applyFont="1" applyFill="1" applyBorder="1" applyAlignment="1" applyProtection="1">
      <alignment horizontal="right" vertical="center" wrapText="1"/>
      <protection locked="0"/>
    </xf>
    <xf numFmtId="0" fontId="17" fillId="2" borderId="124" xfId="3" applyFont="1" applyFill="1" applyBorder="1" applyAlignment="1" applyProtection="1">
      <alignment horizontal="center" vertical="center" wrapText="1"/>
      <protection locked="0"/>
    </xf>
    <xf numFmtId="3" fontId="53" fillId="2" borderId="124" xfId="3" applyNumberFormat="1" applyFont="1" applyFill="1" applyBorder="1" applyAlignment="1" applyProtection="1">
      <alignment horizontal="center" vertical="center" wrapText="1"/>
      <protection locked="0"/>
    </xf>
    <xf numFmtId="0" fontId="17" fillId="2" borderId="105" xfId="3" applyFont="1" applyFill="1" applyBorder="1" applyAlignment="1" applyProtection="1">
      <alignment horizontal="center" vertical="center"/>
      <protection locked="0"/>
    </xf>
    <xf numFmtId="0" fontId="17" fillId="2" borderId="105" xfId="3" applyFont="1" applyFill="1" applyBorder="1" applyAlignment="1" applyProtection="1">
      <alignment horizontal="right" vertical="center" wrapText="1"/>
      <protection locked="0"/>
    </xf>
    <xf numFmtId="0" fontId="17" fillId="2" borderId="105" xfId="3" applyFont="1" applyFill="1" applyBorder="1" applyAlignment="1" applyProtection="1">
      <alignment horizontal="center" vertical="center" wrapText="1"/>
      <protection locked="0"/>
    </xf>
    <xf numFmtId="3" fontId="53" fillId="2" borderId="105" xfId="3" applyNumberFormat="1" applyFont="1" applyFill="1" applyBorder="1" applyAlignment="1" applyProtection="1">
      <alignment horizontal="center" vertical="center" wrapText="1"/>
      <protection locked="0"/>
    </xf>
    <xf numFmtId="0" fontId="17" fillId="2" borderId="1" xfId="3" applyFont="1" applyFill="1" applyBorder="1" applyAlignment="1" applyProtection="1">
      <alignment horizontal="right" vertical="center" wrapText="1"/>
      <protection locked="0"/>
    </xf>
    <xf numFmtId="0" fontId="10" fillId="0" borderId="0" xfId="3" applyAlignment="1">
      <alignment wrapText="1"/>
    </xf>
    <xf numFmtId="0" fontId="17" fillId="2" borderId="125" xfId="3" applyFont="1" applyFill="1" applyBorder="1" applyAlignment="1">
      <alignment horizontal="center" vertical="center"/>
    </xf>
    <xf numFmtId="170" fontId="17" fillId="2" borderId="1" xfId="3" applyNumberFormat="1" applyFont="1" applyFill="1" applyBorder="1" applyAlignment="1">
      <alignment horizontal="center" vertical="center" wrapText="1"/>
    </xf>
    <xf numFmtId="3" fontId="17" fillId="2" borderId="114" xfId="3" applyNumberFormat="1" applyFont="1" applyFill="1" applyBorder="1" applyAlignment="1" applyProtection="1">
      <alignment horizontal="center" vertical="center" wrapText="1"/>
      <protection locked="0"/>
    </xf>
    <xf numFmtId="3" fontId="17" fillId="2" borderId="40" xfId="3" applyNumberFormat="1" applyFont="1" applyFill="1" applyBorder="1" applyAlignment="1" applyProtection="1">
      <alignment horizontal="center" vertical="center" wrapText="1"/>
      <protection locked="0"/>
    </xf>
    <xf numFmtId="0" fontId="17" fillId="2" borderId="4" xfId="3" applyFont="1" applyFill="1" applyBorder="1" applyAlignment="1">
      <alignment horizontal="center" vertical="center"/>
    </xf>
    <xf numFmtId="0" fontId="17" fillId="2" borderId="125" xfId="3" applyFont="1" applyFill="1" applyBorder="1" applyAlignment="1">
      <alignment horizontal="center" vertical="center" wrapText="1"/>
    </xf>
    <xf numFmtId="0" fontId="17" fillId="2" borderId="54" xfId="3" applyFont="1" applyFill="1" applyBorder="1" applyAlignment="1">
      <alignment horizontal="center" vertical="center"/>
    </xf>
    <xf numFmtId="4" fontId="17" fillId="2" borderId="4" xfId="3" applyNumberFormat="1" applyFont="1" applyFill="1" applyBorder="1" applyAlignment="1">
      <alignment horizontal="center" vertical="center"/>
    </xf>
    <xf numFmtId="4" fontId="17" fillId="2" borderId="53" xfId="3" applyNumberFormat="1" applyFont="1" applyFill="1" applyBorder="1" applyAlignment="1">
      <alignment horizontal="center" vertical="center"/>
    </xf>
    <xf numFmtId="0" fontId="53" fillId="2" borderId="2" xfId="3" applyFont="1" applyFill="1" applyBorder="1" applyAlignment="1">
      <alignment horizontal="center" vertical="center"/>
    </xf>
    <xf numFmtId="0" fontId="53" fillId="2" borderId="57" xfId="3" applyFont="1" applyFill="1" applyBorder="1" applyAlignment="1">
      <alignment horizontal="right" vertical="center"/>
    </xf>
    <xf numFmtId="0" fontId="53" fillId="2" borderId="29" xfId="3" applyFont="1" applyFill="1" applyBorder="1" applyAlignment="1">
      <alignment horizontal="center" vertical="center"/>
    </xf>
    <xf numFmtId="166" fontId="17" fillId="2" borderId="5" xfId="3" applyNumberFormat="1" applyFont="1" applyFill="1" applyBorder="1" applyAlignment="1">
      <alignment horizontal="center" vertical="center"/>
    </xf>
    <xf numFmtId="4" fontId="17" fillId="2" borderId="57" xfId="3" applyNumberFormat="1" applyFont="1" applyFill="1" applyBorder="1" applyAlignment="1">
      <alignment horizontal="center" vertical="center"/>
    </xf>
    <xf numFmtId="0" fontId="22" fillId="2" borderId="2" xfId="3" applyFont="1" applyFill="1" applyBorder="1" applyAlignment="1">
      <alignment horizontal="center" vertical="center"/>
    </xf>
    <xf numFmtId="0" fontId="22" fillId="2" borderId="57" xfId="3" applyFont="1" applyFill="1" applyBorder="1" applyAlignment="1">
      <alignment horizontal="right" vertical="center"/>
    </xf>
    <xf numFmtId="0" fontId="22" fillId="2" borderId="29" xfId="3" applyFont="1" applyFill="1" applyBorder="1" applyAlignment="1">
      <alignment horizontal="center" vertical="center"/>
    </xf>
    <xf numFmtId="166" fontId="9" fillId="0" borderId="2" xfId="3" applyNumberFormat="1" applyFont="1" applyBorder="1" applyAlignment="1">
      <alignment horizontal="center" vertical="center"/>
    </xf>
    <xf numFmtId="0" fontId="22" fillId="2" borderId="2" xfId="3" applyFont="1" applyFill="1" applyBorder="1" applyAlignment="1">
      <alignment horizontal="right" vertical="center"/>
    </xf>
    <xf numFmtId="0" fontId="22" fillId="2" borderId="108" xfId="3" applyFont="1" applyFill="1" applyBorder="1" applyAlignment="1">
      <alignment horizontal="right" vertical="center"/>
    </xf>
    <xf numFmtId="166" fontId="9" fillId="0" borderId="83" xfId="3" applyNumberFormat="1" applyFont="1" applyBorder="1" applyAlignment="1">
      <alignment horizontal="center" vertical="center"/>
    </xf>
    <xf numFmtId="4" fontId="17" fillId="2" borderId="83" xfId="3" applyNumberFormat="1" applyFont="1" applyFill="1" applyBorder="1" applyAlignment="1">
      <alignment horizontal="center" vertical="center"/>
    </xf>
    <xf numFmtId="0" fontId="53" fillId="2" borderId="57" xfId="3" applyFont="1" applyFill="1" applyBorder="1" applyAlignment="1">
      <alignment horizontal="right" vertical="center" wrapText="1"/>
    </xf>
    <xf numFmtId="0" fontId="53" fillId="2" borderId="4" xfId="3" applyFont="1" applyFill="1" applyBorder="1" applyAlignment="1">
      <alignment horizontal="center" vertical="center"/>
    </xf>
    <xf numFmtId="4" fontId="17" fillId="2" borderId="51" xfId="3" applyNumberFormat="1" applyFont="1" applyFill="1" applyBorder="1" applyAlignment="1">
      <alignment horizontal="center" vertical="center"/>
    </xf>
    <xf numFmtId="4" fontId="9" fillId="2" borderId="5" xfId="3" applyNumberFormat="1" applyFont="1" applyFill="1" applyBorder="1" applyAlignment="1">
      <alignment horizontal="center" vertical="center"/>
    </xf>
    <xf numFmtId="4" fontId="9" fillId="0" borderId="57" xfId="3" applyNumberFormat="1" applyFont="1" applyBorder="1" applyAlignment="1">
      <alignment horizontal="center" vertical="center"/>
    </xf>
    <xf numFmtId="4" fontId="9" fillId="2" borderId="57" xfId="3" applyNumberFormat="1" applyFont="1" applyFill="1" applyBorder="1" applyAlignment="1">
      <alignment horizontal="center" vertical="center"/>
    </xf>
    <xf numFmtId="0" fontId="22" fillId="2" borderId="5" xfId="3" applyFont="1" applyFill="1" applyBorder="1" applyAlignment="1">
      <alignment horizontal="center" vertical="center"/>
    </xf>
    <xf numFmtId="0" fontId="22" fillId="2" borderId="126" xfId="3" applyFont="1" applyFill="1" applyBorder="1" applyAlignment="1">
      <alignment horizontal="right" vertical="center"/>
    </xf>
    <xf numFmtId="0" fontId="22" fillId="2" borderId="105" xfId="3" applyFont="1" applyFill="1" applyBorder="1" applyAlignment="1">
      <alignment horizontal="center" vertical="center"/>
    </xf>
    <xf numFmtId="4" fontId="9" fillId="0" borderId="108" xfId="3" applyNumberFormat="1" applyFont="1" applyBorder="1" applyAlignment="1">
      <alignment horizontal="center" vertical="center"/>
    </xf>
    <xf numFmtId="4" fontId="9" fillId="2" borderId="108" xfId="3" applyNumberFormat="1" applyFont="1" applyFill="1" applyBorder="1" applyAlignment="1">
      <alignment horizontal="center" vertical="center"/>
    </xf>
    <xf numFmtId="0" fontId="17" fillId="2" borderId="124" xfId="3" applyFont="1" applyFill="1" applyBorder="1" applyAlignment="1">
      <alignment horizontal="center" vertical="center"/>
    </xf>
    <xf numFmtId="166" fontId="17" fillId="2" borderId="114" xfId="3" applyNumberFormat="1" applyFont="1" applyFill="1" applyBorder="1" applyAlignment="1">
      <alignment horizontal="center" vertical="center"/>
    </xf>
    <xf numFmtId="4" fontId="17" fillId="2" borderId="1" xfId="3" applyNumberFormat="1" applyFont="1" applyFill="1" applyBorder="1" applyAlignment="1">
      <alignment horizontal="center" vertical="center"/>
    </xf>
    <xf numFmtId="4" fontId="17" fillId="0" borderId="114" xfId="3" applyNumberFormat="1" applyFont="1" applyBorder="1" applyAlignment="1" applyProtection="1">
      <alignment horizontal="center" vertical="center"/>
      <protection locked="0"/>
    </xf>
    <xf numFmtId="4" fontId="9" fillId="2" borderId="1" xfId="3" applyNumberFormat="1" applyFont="1" applyFill="1" applyBorder="1" applyAlignment="1">
      <alignment horizontal="center" vertical="center"/>
    </xf>
    <xf numFmtId="0" fontId="17" fillId="2" borderId="42" xfId="3" applyFont="1" applyFill="1" applyBorder="1" applyAlignment="1">
      <alignment horizontal="center" vertical="center" wrapText="1"/>
    </xf>
    <xf numFmtId="4" fontId="17" fillId="0" borderId="40" xfId="3" applyNumberFormat="1" applyFont="1" applyBorder="1" applyAlignment="1" applyProtection="1">
      <alignment horizontal="center" vertical="center"/>
      <protection locked="0"/>
    </xf>
    <xf numFmtId="0" fontId="17" fillId="2" borderId="105" xfId="3" applyFont="1" applyFill="1" applyBorder="1" applyAlignment="1">
      <alignment horizontal="center" vertical="center"/>
    </xf>
    <xf numFmtId="0" fontId="17" fillId="2" borderId="127" xfId="3" applyFont="1" applyFill="1" applyBorder="1" applyAlignment="1">
      <alignment horizontal="center" vertical="center"/>
    </xf>
    <xf numFmtId="166" fontId="17" fillId="0" borderId="126" xfId="3" applyNumberFormat="1" applyFont="1" applyBorder="1" applyAlignment="1" applyProtection="1">
      <alignment horizontal="center" vertical="center"/>
      <protection locked="0"/>
    </xf>
    <xf numFmtId="4" fontId="55" fillId="2" borderId="1" xfId="3" applyNumberFormat="1" applyFont="1" applyFill="1" applyBorder="1" applyAlignment="1" applyProtection="1">
      <alignment horizontal="center" vertical="center"/>
      <protection locked="0"/>
    </xf>
    <xf numFmtId="4" fontId="55" fillId="2" borderId="126" xfId="3" applyNumberFormat="1" applyFont="1" applyFill="1" applyBorder="1" applyAlignment="1" applyProtection="1">
      <alignment horizontal="center" vertical="center"/>
      <protection locked="0"/>
    </xf>
    <xf numFmtId="166" fontId="17" fillId="2" borderId="126" xfId="3" applyNumberFormat="1" applyFont="1" applyFill="1" applyBorder="1" applyAlignment="1" applyProtection="1">
      <alignment horizontal="center" vertical="center"/>
      <protection locked="0"/>
    </xf>
    <xf numFmtId="0" fontId="17" fillId="2" borderId="39" xfId="3" applyFont="1" applyFill="1" applyBorder="1" applyAlignment="1">
      <alignment horizontal="center" vertical="center"/>
    </xf>
    <xf numFmtId="4" fontId="55" fillId="2" borderId="40" xfId="3" applyNumberFormat="1" applyFont="1" applyFill="1" applyBorder="1" applyAlignment="1" applyProtection="1">
      <alignment horizontal="center" vertical="center"/>
      <protection locked="0"/>
    </xf>
    <xf numFmtId="0" fontId="56" fillId="0" borderId="0" xfId="3" applyFont="1"/>
    <xf numFmtId="0" fontId="17" fillId="2" borderId="55" xfId="3" applyFont="1" applyFill="1" applyBorder="1" applyAlignment="1" applyProtection="1">
      <alignment horizontal="center" vertical="center"/>
      <protection locked="0"/>
    </xf>
    <xf numFmtId="167" fontId="17" fillId="2" borderId="53" xfId="3" applyNumberFormat="1" applyFont="1" applyFill="1" applyBorder="1" applyAlignment="1">
      <alignment horizontal="center" vertical="center"/>
    </xf>
    <xf numFmtId="0" fontId="53" fillId="2" borderId="58" xfId="3" applyFont="1" applyFill="1" applyBorder="1" applyAlignment="1" applyProtection="1">
      <alignment horizontal="right" vertical="center"/>
      <protection locked="0"/>
    </xf>
    <xf numFmtId="1" fontId="53" fillId="2" borderId="2" xfId="3" applyNumberFormat="1" applyFont="1" applyFill="1" applyBorder="1" applyAlignment="1">
      <alignment horizontal="center" vertical="center"/>
    </xf>
    <xf numFmtId="4" fontId="53" fillId="2" borderId="57" xfId="3" applyNumberFormat="1" applyFont="1" applyFill="1" applyBorder="1" applyAlignment="1" applyProtection="1">
      <alignment horizontal="center" vertical="center"/>
      <protection locked="0"/>
    </xf>
    <xf numFmtId="0" fontId="53" fillId="2" borderId="3" xfId="3" applyFont="1" applyFill="1" applyBorder="1" applyAlignment="1">
      <alignment horizontal="center" vertical="center"/>
    </xf>
    <xf numFmtId="0" fontId="53" fillId="2" borderId="62" xfId="3" applyFont="1" applyFill="1" applyBorder="1" applyAlignment="1" applyProtection="1">
      <alignment horizontal="right" vertical="center"/>
      <protection locked="0"/>
    </xf>
    <xf numFmtId="1" fontId="53" fillId="2" borderId="3" xfId="3" applyNumberFormat="1" applyFont="1" applyFill="1" applyBorder="1" applyAlignment="1">
      <alignment horizontal="center" vertical="center"/>
    </xf>
    <xf numFmtId="4" fontId="53" fillId="2" borderId="61" xfId="3" applyNumberFormat="1" applyFont="1" applyFill="1" applyBorder="1" applyAlignment="1" applyProtection="1">
      <alignment horizontal="center" vertical="center"/>
      <protection locked="0"/>
    </xf>
    <xf numFmtId="0" fontId="53" fillId="2" borderId="5" xfId="3" applyFont="1" applyFill="1" applyBorder="1" applyAlignment="1">
      <alignment horizontal="center" vertical="center"/>
    </xf>
    <xf numFmtId="0" fontId="53" fillId="2" borderId="52" xfId="3" applyFont="1" applyFill="1" applyBorder="1" applyAlignment="1" applyProtection="1">
      <alignment horizontal="right" vertical="center"/>
      <protection locked="0"/>
    </xf>
    <xf numFmtId="4" fontId="53" fillId="2" borderId="51" xfId="3" applyNumberFormat="1" applyFont="1" applyFill="1" applyBorder="1" applyAlignment="1" applyProtection="1">
      <alignment horizontal="center" vertical="center"/>
      <protection locked="0"/>
    </xf>
    <xf numFmtId="0" fontId="53" fillId="2" borderId="6" xfId="3" applyFont="1" applyFill="1" applyBorder="1" applyAlignment="1">
      <alignment horizontal="center" vertical="center"/>
    </xf>
    <xf numFmtId="0" fontId="53" fillId="2" borderId="84" xfId="3" applyFont="1" applyFill="1" applyBorder="1" applyAlignment="1" applyProtection="1">
      <alignment horizontal="center" vertical="center"/>
      <protection locked="0"/>
    </xf>
    <xf numFmtId="1" fontId="53" fillId="2" borderId="6" xfId="3" applyNumberFormat="1" applyFont="1" applyFill="1" applyBorder="1" applyAlignment="1">
      <alignment horizontal="center" vertical="center"/>
    </xf>
    <xf numFmtId="4" fontId="53" fillId="2" borderId="83" xfId="3" applyNumberFormat="1" applyFont="1" applyFill="1" applyBorder="1" applyAlignment="1" applyProtection="1">
      <alignment horizontal="center" vertical="center"/>
      <protection locked="0"/>
    </xf>
    <xf numFmtId="0" fontId="17" fillId="2" borderId="10" xfId="3" applyFont="1" applyFill="1" applyBorder="1" applyAlignment="1">
      <alignment horizontal="center" vertical="center"/>
    </xf>
    <xf numFmtId="0" fontId="17" fillId="2" borderId="115" xfId="3" applyFont="1" applyFill="1" applyBorder="1" applyAlignment="1">
      <alignment horizontal="center" vertical="center"/>
    </xf>
    <xf numFmtId="0" fontId="17" fillId="3" borderId="8" xfId="3" applyFont="1" applyFill="1" applyBorder="1" applyAlignment="1">
      <alignment horizontal="center" vertical="center"/>
    </xf>
    <xf numFmtId="0" fontId="9" fillId="3" borderId="37" xfId="3" applyFont="1" applyFill="1" applyBorder="1" applyAlignment="1">
      <alignment horizontal="center" vertical="center"/>
    </xf>
    <xf numFmtId="0" fontId="9" fillId="3" borderId="17" xfId="3" applyFont="1" applyFill="1" applyBorder="1" applyAlignment="1">
      <alignment horizontal="center" vertical="center"/>
    </xf>
    <xf numFmtId="0" fontId="9" fillId="3" borderId="31" xfId="3" applyFont="1" applyFill="1" applyBorder="1" applyAlignment="1">
      <alignment horizontal="center" vertical="center"/>
    </xf>
    <xf numFmtId="2" fontId="53" fillId="2" borderId="30" xfId="3" applyNumberFormat="1" applyFont="1" applyFill="1" applyBorder="1" applyAlignment="1" applyProtection="1">
      <alignment horizontal="center" vertical="center"/>
      <protection locked="0"/>
    </xf>
    <xf numFmtId="2" fontId="53" fillId="2" borderId="83" xfId="3" applyNumberFormat="1" applyFont="1" applyFill="1" applyBorder="1" applyAlignment="1" applyProtection="1">
      <alignment horizontal="center" vertical="center"/>
      <protection locked="0"/>
    </xf>
    <xf numFmtId="2" fontId="53" fillId="2" borderId="39" xfId="3" applyNumberFormat="1" applyFont="1" applyFill="1" applyBorder="1" applyAlignment="1" applyProtection="1">
      <alignment horizontal="center" vertical="center"/>
      <protection locked="0"/>
    </xf>
    <xf numFmtId="2" fontId="53" fillId="2" borderId="40" xfId="3" applyNumberFormat="1" applyFont="1" applyFill="1" applyBorder="1" applyAlignment="1" applyProtection="1">
      <alignment horizontal="center" vertical="center"/>
      <protection locked="0"/>
    </xf>
    <xf numFmtId="170" fontId="17" fillId="2" borderId="39" xfId="3" applyNumberFormat="1" applyFont="1" applyFill="1" applyBorder="1" applyAlignment="1" applyProtection="1">
      <alignment horizontal="center" vertical="center"/>
      <protection locked="0"/>
    </xf>
    <xf numFmtId="170" fontId="17" fillId="2" borderId="40" xfId="3" applyNumberFormat="1" applyFont="1" applyFill="1" applyBorder="1" applyAlignment="1" applyProtection="1">
      <alignment horizontal="center" vertical="center"/>
      <protection locked="0"/>
    </xf>
    <xf numFmtId="2" fontId="17" fillId="2" borderId="54" xfId="3" applyNumberFormat="1" applyFont="1" applyFill="1" applyBorder="1" applyAlignment="1" applyProtection="1">
      <alignment horizontal="center" vertical="center"/>
      <protection locked="0"/>
    </xf>
    <xf numFmtId="2" fontId="17" fillId="2" borderId="53" xfId="3" applyNumberFormat="1" applyFont="1" applyFill="1" applyBorder="1" applyAlignment="1" applyProtection="1">
      <alignment horizontal="center" vertical="center"/>
      <protection locked="0"/>
    </xf>
    <xf numFmtId="3" fontId="17" fillId="2" borderId="39" xfId="3" applyNumberFormat="1" applyFont="1" applyFill="1" applyBorder="1" applyAlignment="1" applyProtection="1">
      <alignment horizontal="center" vertical="center"/>
      <protection locked="0"/>
    </xf>
    <xf numFmtId="3" fontId="17" fillId="2" borderId="40" xfId="3" applyNumberFormat="1" applyFont="1" applyFill="1" applyBorder="1" applyAlignment="1" applyProtection="1">
      <alignment horizontal="center" vertical="center"/>
      <protection locked="0"/>
    </xf>
    <xf numFmtId="2" fontId="17" fillId="2" borderId="30" xfId="3" applyNumberFormat="1" applyFont="1" applyFill="1" applyBorder="1" applyAlignment="1" applyProtection="1">
      <alignment horizontal="center" vertical="center" wrapText="1"/>
      <protection locked="0"/>
    </xf>
    <xf numFmtId="2" fontId="17" fillId="2" borderId="83" xfId="3" applyNumberFormat="1" applyFont="1" applyFill="1" applyBorder="1" applyAlignment="1" applyProtection="1">
      <alignment horizontal="center" vertical="center" wrapText="1"/>
      <protection locked="0"/>
    </xf>
    <xf numFmtId="2" fontId="17" fillId="2" borderId="54" xfId="3" applyNumberFormat="1" applyFont="1" applyFill="1" applyBorder="1" applyAlignment="1" applyProtection="1">
      <alignment horizontal="center" vertical="center" wrapText="1"/>
      <protection locked="0"/>
    </xf>
    <xf numFmtId="2" fontId="17" fillId="2" borderId="53" xfId="3" applyNumberFormat="1" applyFont="1" applyFill="1" applyBorder="1" applyAlignment="1" applyProtection="1">
      <alignment horizontal="center" vertical="center" wrapText="1"/>
      <protection locked="0"/>
    </xf>
    <xf numFmtId="2" fontId="53" fillId="2" borderId="54" xfId="3" applyNumberFormat="1" applyFont="1" applyFill="1" applyBorder="1" applyAlignment="1" applyProtection="1">
      <alignment horizontal="center" vertical="center"/>
      <protection locked="0"/>
    </xf>
    <xf numFmtId="2" fontId="53" fillId="2" borderId="53" xfId="3" applyNumberFormat="1" applyFont="1" applyFill="1" applyBorder="1" applyAlignment="1" applyProtection="1">
      <alignment horizontal="center" vertical="center"/>
      <protection locked="0"/>
    </xf>
  </cellXfs>
  <cellStyles count="7">
    <cellStyle name="Comma" xfId="1" builtinId="3"/>
    <cellStyle name="Comma 2 5" xfId="5" xr:uid="{5CF2B1C0-9C84-4F28-BC7F-98F75F239924}"/>
    <cellStyle name="Normal" xfId="0" builtinId="0"/>
    <cellStyle name="Normal 2 5" xfId="4" xr:uid="{9226B51E-BCC8-4B7B-AD35-F5F60CBC1621}"/>
    <cellStyle name="Normal 2 6" xfId="6" xr:uid="{1611994B-5E96-4ACA-996C-17B446BDAD27}"/>
    <cellStyle name="Normal 2 7" xfId="3" xr:uid="{D9CAC393-BE95-44B3-B5EF-EA06939DD058}"/>
    <cellStyle name="Normal 4 2" xfId="2" xr:uid="{2490A7C7-D0F1-4760-AEAC-F992A5832CF8}"/>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397AB-89E5-422B-95A0-C1295CDE655E}">
  <sheetPr>
    <tabColor theme="0" tint="-0.14999847407452621"/>
  </sheetPr>
  <dimension ref="C2:E31"/>
  <sheetViews>
    <sheetView zoomScale="67" zoomScaleNormal="90" workbookViewId="0">
      <selection activeCell="C5" sqref="C5"/>
    </sheetView>
  </sheetViews>
  <sheetFormatPr defaultRowHeight="14.5"/>
  <cols>
    <col min="3" max="3" width="10.1796875" customWidth="1"/>
    <col min="4" max="4" width="65.54296875" customWidth="1"/>
    <col min="5" max="5" width="25.81640625" customWidth="1"/>
    <col min="6" max="6" width="31.1796875" customWidth="1"/>
  </cols>
  <sheetData>
    <row r="2" spans="3:5" ht="69">
      <c r="E2" s="1" t="s">
        <v>0</v>
      </c>
    </row>
    <row r="3" spans="3:5" ht="45">
      <c r="C3" s="1"/>
      <c r="D3" s="2" t="s">
        <v>1</v>
      </c>
    </row>
    <row r="4" spans="3:5" ht="15" thickBot="1"/>
    <row r="5" spans="3:5" ht="15" thickBot="1">
      <c r="C5" s="3" t="s">
        <v>2</v>
      </c>
      <c r="D5" s="3" t="s">
        <v>3</v>
      </c>
      <c r="E5" s="4" t="s">
        <v>4</v>
      </c>
    </row>
    <row r="6" spans="3:5">
      <c r="C6" s="5" t="s">
        <v>5</v>
      </c>
      <c r="D6" s="6" t="s">
        <v>6</v>
      </c>
      <c r="E6" s="7"/>
    </row>
    <row r="7" spans="3:5">
      <c r="C7" s="5" t="s">
        <v>7</v>
      </c>
      <c r="D7" s="8" t="s">
        <v>8</v>
      </c>
      <c r="E7" s="5">
        <v>4</v>
      </c>
    </row>
    <row r="8" spans="3:5">
      <c r="C8" s="5" t="s">
        <v>7</v>
      </c>
      <c r="D8" s="8" t="s">
        <v>9</v>
      </c>
      <c r="E8" s="9" t="s">
        <v>10</v>
      </c>
    </row>
    <row r="9" spans="3:5" ht="15" thickBot="1">
      <c r="C9" s="10" t="s">
        <v>7</v>
      </c>
      <c r="D9" s="11" t="s">
        <v>11</v>
      </c>
      <c r="E9" s="10" t="s">
        <v>10</v>
      </c>
    </row>
    <row r="10" spans="3:5">
      <c r="C10" s="12" t="s">
        <v>12</v>
      </c>
      <c r="D10" s="13" t="s">
        <v>13</v>
      </c>
      <c r="E10" s="12"/>
    </row>
    <row r="11" spans="3:5">
      <c r="C11" s="14" t="s">
        <v>14</v>
      </c>
      <c r="D11" s="15" t="s">
        <v>15</v>
      </c>
      <c r="E11" s="14" t="s">
        <v>16</v>
      </c>
    </row>
    <row r="12" spans="3:5">
      <c r="C12" s="5" t="s">
        <v>17</v>
      </c>
      <c r="D12" s="16" t="s">
        <v>18</v>
      </c>
      <c r="E12" s="5" t="s">
        <v>19</v>
      </c>
    </row>
    <row r="13" spans="3:5">
      <c r="C13" s="5" t="s">
        <v>20</v>
      </c>
      <c r="D13" s="16" t="s">
        <v>21</v>
      </c>
      <c r="E13" s="5">
        <v>50</v>
      </c>
    </row>
    <row r="14" spans="3:5">
      <c r="C14" s="10" t="s">
        <v>22</v>
      </c>
      <c r="D14" s="17" t="s">
        <v>23</v>
      </c>
      <c r="E14" s="10">
        <v>30</v>
      </c>
    </row>
    <row r="15" spans="3:5">
      <c r="C15" s="10" t="s">
        <v>24</v>
      </c>
      <c r="D15" s="17" t="s">
        <v>25</v>
      </c>
      <c r="E15" s="10">
        <v>20</v>
      </c>
    </row>
    <row r="16" spans="3:5" ht="39.5" thickBot="1">
      <c r="C16" s="10" t="s">
        <v>26</v>
      </c>
      <c r="D16" s="17" t="s">
        <v>27</v>
      </c>
      <c r="E16" s="10">
        <v>35</v>
      </c>
    </row>
    <row r="17" spans="3:5">
      <c r="C17" s="12" t="s">
        <v>28</v>
      </c>
      <c r="D17" s="13" t="s">
        <v>29</v>
      </c>
      <c r="E17" s="12"/>
    </row>
    <row r="18" spans="3:5" ht="39">
      <c r="C18" s="10" t="s">
        <v>30</v>
      </c>
      <c r="D18" s="17" t="s">
        <v>31</v>
      </c>
      <c r="E18" s="10">
        <v>10</v>
      </c>
    </row>
    <row r="19" spans="3:5" ht="15" thickBot="1">
      <c r="C19" s="18" t="s">
        <v>32</v>
      </c>
      <c r="D19" s="19" t="s">
        <v>33</v>
      </c>
      <c r="E19" s="18">
        <v>5</v>
      </c>
    </row>
    <row r="20" spans="3:5">
      <c r="C20" s="12" t="s">
        <v>34</v>
      </c>
      <c r="D20" s="13" t="s">
        <v>35</v>
      </c>
      <c r="E20" s="12"/>
    </row>
    <row r="21" spans="3:5" ht="26">
      <c r="C21" s="10" t="s">
        <v>36</v>
      </c>
      <c r="D21" s="16" t="s">
        <v>37</v>
      </c>
      <c r="E21" s="20" t="s">
        <v>38</v>
      </c>
    </row>
    <row r="22" spans="3:5" ht="26">
      <c r="C22" s="10" t="s">
        <v>39</v>
      </c>
      <c r="D22" s="17" t="s">
        <v>40</v>
      </c>
      <c r="E22" s="20" t="s">
        <v>41</v>
      </c>
    </row>
    <row r="23" spans="3:5">
      <c r="C23" s="10" t="s">
        <v>42</v>
      </c>
      <c r="D23" s="17" t="s">
        <v>43</v>
      </c>
      <c r="E23" s="20">
        <v>7</v>
      </c>
    </row>
    <row r="24" spans="3:5" ht="26">
      <c r="C24" s="21" t="s">
        <v>44</v>
      </c>
      <c r="D24" s="22" t="s">
        <v>45</v>
      </c>
      <c r="E24" s="23">
        <v>6</v>
      </c>
    </row>
    <row r="25" spans="3:5">
      <c r="C25" s="24" t="s">
        <v>46</v>
      </c>
      <c r="D25" s="25" t="s">
        <v>47</v>
      </c>
      <c r="E25" s="26">
        <v>4</v>
      </c>
    </row>
    <row r="26" spans="3:5" ht="26.5" thickBot="1">
      <c r="C26" s="24" t="s">
        <v>48</v>
      </c>
      <c r="D26" s="22" t="s">
        <v>49</v>
      </c>
      <c r="E26" s="24">
        <v>6</v>
      </c>
    </row>
    <row r="27" spans="3:5">
      <c r="C27" s="12" t="s">
        <v>50</v>
      </c>
      <c r="D27" s="13" t="s">
        <v>51</v>
      </c>
      <c r="E27" s="27"/>
    </row>
    <row r="28" spans="3:5">
      <c r="C28" s="5" t="s">
        <v>52</v>
      </c>
      <c r="D28" s="8" t="s">
        <v>53</v>
      </c>
      <c r="E28" s="5">
        <v>7</v>
      </c>
    </row>
    <row r="29" spans="3:5" ht="26.5" thickBot="1">
      <c r="C29" s="18" t="s">
        <v>54</v>
      </c>
      <c r="D29" s="28" t="s">
        <v>55</v>
      </c>
      <c r="E29" s="18">
        <v>10</v>
      </c>
    </row>
    <row r="30" spans="3:5">
      <c r="C30" s="29"/>
      <c r="E30" s="30"/>
    </row>
    <row r="31" spans="3:5">
      <c r="D31" s="31"/>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92F5D-D73C-4863-B9CC-9696C9C4E941}">
  <sheetPr>
    <tabColor theme="0" tint="-0.14999847407452621"/>
    <pageSetUpPr fitToPage="1"/>
  </sheetPr>
  <dimension ref="A1:F57"/>
  <sheetViews>
    <sheetView zoomScale="70" zoomScaleNormal="70" workbookViewId="0">
      <selection activeCell="B9" sqref="B9"/>
    </sheetView>
  </sheetViews>
  <sheetFormatPr defaultRowHeight="14.5"/>
  <cols>
    <col min="2" max="2" width="10.453125" customWidth="1"/>
    <col min="3" max="3" width="90.453125" customWidth="1"/>
    <col min="4" max="4" width="20.26953125" customWidth="1"/>
    <col min="5" max="5" width="19.81640625" customWidth="1"/>
    <col min="6" max="6" width="43.1796875" customWidth="1"/>
  </cols>
  <sheetData>
    <row r="1" spans="1:6">
      <c r="A1" s="587"/>
      <c r="B1" s="587"/>
      <c r="C1" s="587"/>
      <c r="D1" s="587"/>
      <c r="E1" s="587"/>
      <c r="F1" s="587"/>
    </row>
    <row r="2" spans="1:6" ht="34.5">
      <c r="A2" s="587"/>
      <c r="B2" s="587"/>
      <c r="C2" s="587"/>
      <c r="D2" s="587"/>
      <c r="E2" s="587"/>
      <c r="F2" s="589" t="s">
        <v>1251</v>
      </c>
    </row>
    <row r="3" spans="1:6">
      <c r="A3" s="587"/>
      <c r="B3" s="587"/>
      <c r="C3" s="32" t="s">
        <v>1331</v>
      </c>
      <c r="D3" s="587"/>
      <c r="E3" s="587"/>
      <c r="F3" s="587"/>
    </row>
    <row r="4" spans="1:6">
      <c r="A4" s="587"/>
      <c r="B4" s="587"/>
      <c r="C4" s="32" t="s">
        <v>1332</v>
      </c>
      <c r="D4" s="587"/>
      <c r="E4" s="587"/>
      <c r="F4" s="587"/>
    </row>
    <row r="5" spans="1:6">
      <c r="A5" s="587"/>
      <c r="B5" s="587"/>
      <c r="C5" s="587"/>
      <c r="D5" s="587"/>
      <c r="E5" s="587"/>
      <c r="F5" s="587"/>
    </row>
    <row r="6" spans="1:6">
      <c r="A6" s="587"/>
      <c r="B6" s="587"/>
      <c r="C6" s="1187" t="s">
        <v>1252</v>
      </c>
      <c r="D6" s="587"/>
      <c r="E6" s="587"/>
      <c r="F6" s="587"/>
    </row>
    <row r="7" spans="1:6">
      <c r="A7" s="587"/>
      <c r="B7" s="587"/>
      <c r="C7" s="1187"/>
      <c r="D7" s="587"/>
      <c r="E7" s="587"/>
      <c r="F7" s="587"/>
    </row>
    <row r="8" spans="1:6" ht="15" thickBot="1">
      <c r="A8" s="587"/>
      <c r="B8" s="587"/>
      <c r="C8" s="587"/>
      <c r="D8" s="587"/>
      <c r="E8" s="587"/>
      <c r="F8" s="587"/>
    </row>
    <row r="9" spans="1:6" ht="15" thickBot="1">
      <c r="A9" s="587"/>
      <c r="B9" s="917" t="s">
        <v>2</v>
      </c>
      <c r="C9" s="1239" t="s">
        <v>1195</v>
      </c>
      <c r="D9" s="1240" t="s">
        <v>714</v>
      </c>
      <c r="E9" s="1241" t="s">
        <v>59</v>
      </c>
      <c r="F9" s="1242" t="s">
        <v>1196</v>
      </c>
    </row>
    <row r="10" spans="1:6" ht="26">
      <c r="A10" s="587"/>
      <c r="B10" s="1243" t="s">
        <v>1199</v>
      </c>
      <c r="C10" s="1244" t="s">
        <v>1253</v>
      </c>
      <c r="D10" s="1245" t="s">
        <v>1254</v>
      </c>
      <c r="E10" s="1246">
        <f>E11+E20</f>
        <v>4800.2883609003884</v>
      </c>
      <c r="F10" s="1247"/>
    </row>
    <row r="11" spans="1:6">
      <c r="A11" s="587"/>
      <c r="B11" s="1248" t="s">
        <v>66</v>
      </c>
      <c r="C11" s="1249" t="s">
        <v>1255</v>
      </c>
      <c r="D11" s="1250" t="s">
        <v>1254</v>
      </c>
      <c r="E11" s="1251">
        <f>SUM(E12:E19)</f>
        <v>207.88836090038896</v>
      </c>
      <c r="F11" s="1252"/>
    </row>
    <row r="12" spans="1:6">
      <c r="A12" s="587"/>
      <c r="B12" s="1253" t="s">
        <v>1256</v>
      </c>
      <c r="C12" s="1254" t="s">
        <v>1208</v>
      </c>
      <c r="D12" s="1255" t="s">
        <v>1254</v>
      </c>
      <c r="E12" s="1256">
        <v>15.506</v>
      </c>
      <c r="F12" s="1252"/>
    </row>
    <row r="13" spans="1:6">
      <c r="A13" s="587"/>
      <c r="B13" s="1253" t="s">
        <v>1257</v>
      </c>
      <c r="C13" s="1254" t="s">
        <v>1210</v>
      </c>
      <c r="D13" s="1255" t="s">
        <v>1254</v>
      </c>
      <c r="E13" s="1256">
        <v>19.701000000000001</v>
      </c>
      <c r="F13" s="1252"/>
    </row>
    <row r="14" spans="1:6">
      <c r="A14" s="587"/>
      <c r="B14" s="1253" t="s">
        <v>1258</v>
      </c>
      <c r="C14" s="1254" t="s">
        <v>1212</v>
      </c>
      <c r="D14" s="1255" t="s">
        <v>1254</v>
      </c>
      <c r="E14" s="1256">
        <v>5.9</v>
      </c>
      <c r="F14" s="1252"/>
    </row>
    <row r="15" spans="1:6">
      <c r="A15" s="587"/>
      <c r="B15" s="1253" t="s">
        <v>1259</v>
      </c>
      <c r="C15" s="1254" t="s">
        <v>1260</v>
      </c>
      <c r="D15" s="1255" t="s">
        <v>1254</v>
      </c>
      <c r="E15" s="1256">
        <v>18.055</v>
      </c>
      <c r="F15" s="1252"/>
    </row>
    <row r="16" spans="1:6">
      <c r="A16" s="587"/>
      <c r="B16" s="1253" t="s">
        <v>1261</v>
      </c>
      <c r="C16" s="1254" t="s">
        <v>1217</v>
      </c>
      <c r="D16" s="1255" t="s">
        <v>1254</v>
      </c>
      <c r="E16" s="1256">
        <v>39.143000000000001</v>
      </c>
      <c r="F16" s="1252"/>
    </row>
    <row r="17" spans="1:6">
      <c r="A17" s="587"/>
      <c r="B17" s="1253" t="s">
        <v>1262</v>
      </c>
      <c r="C17" s="1254" t="s">
        <v>1219</v>
      </c>
      <c r="D17" s="1255" t="s">
        <v>1254</v>
      </c>
      <c r="E17" s="1256">
        <v>27.58</v>
      </c>
      <c r="F17" s="1252"/>
    </row>
    <row r="18" spans="1:6">
      <c r="A18" s="587"/>
      <c r="B18" s="1253" t="s">
        <v>1263</v>
      </c>
      <c r="C18" s="1257" t="s">
        <v>1264</v>
      </c>
      <c r="D18" s="1253" t="s">
        <v>1254</v>
      </c>
      <c r="E18" s="1256">
        <v>0</v>
      </c>
      <c r="F18" s="1252"/>
    </row>
    <row r="19" spans="1:6" ht="15" thickBot="1">
      <c r="A19" s="587"/>
      <c r="B19" s="1253" t="s">
        <v>1265</v>
      </c>
      <c r="C19" s="1258" t="s">
        <v>1266</v>
      </c>
      <c r="D19" s="1253" t="s">
        <v>1254</v>
      </c>
      <c r="E19" s="1259">
        <v>82.003360900388955</v>
      </c>
      <c r="F19" s="1260"/>
    </row>
    <row r="20" spans="1:6">
      <c r="A20" s="587"/>
      <c r="B20" s="1248" t="s">
        <v>68</v>
      </c>
      <c r="C20" s="1261" t="s">
        <v>1267</v>
      </c>
      <c r="D20" s="1262" t="s">
        <v>1254</v>
      </c>
      <c r="E20" s="1263">
        <f>SUM(E21:E28)</f>
        <v>4592.3999999999996</v>
      </c>
      <c r="F20" s="1264"/>
    </row>
    <row r="21" spans="1:6">
      <c r="A21" s="587"/>
      <c r="B21" s="1253" t="s">
        <v>1268</v>
      </c>
      <c r="C21" s="1254" t="s">
        <v>1208</v>
      </c>
      <c r="D21" s="1253" t="s">
        <v>1254</v>
      </c>
      <c r="E21" s="1265">
        <v>606.27300000000002</v>
      </c>
      <c r="F21" s="1266"/>
    </row>
    <row r="22" spans="1:6">
      <c r="A22" s="587"/>
      <c r="B22" s="1253" t="s">
        <v>1269</v>
      </c>
      <c r="C22" s="1254" t="s">
        <v>1210</v>
      </c>
      <c r="D22" s="1253" t="s">
        <v>1254</v>
      </c>
      <c r="E22" s="1265">
        <v>87.016999999999996</v>
      </c>
      <c r="F22" s="1266"/>
    </row>
    <row r="23" spans="1:6">
      <c r="A23" s="587"/>
      <c r="B23" s="1253" t="s">
        <v>1270</v>
      </c>
      <c r="C23" s="1254" t="s">
        <v>1212</v>
      </c>
      <c r="D23" s="1253" t="s">
        <v>1254</v>
      </c>
      <c r="E23" s="1265">
        <v>329.18599999999998</v>
      </c>
      <c r="F23" s="1266"/>
    </row>
    <row r="24" spans="1:6">
      <c r="A24" s="587"/>
      <c r="B24" s="1253" t="s">
        <v>1271</v>
      </c>
      <c r="C24" s="1254" t="s">
        <v>1260</v>
      </c>
      <c r="D24" s="1253" t="s">
        <v>1254</v>
      </c>
      <c r="E24" s="1265">
        <v>623.27300000000002</v>
      </c>
      <c r="F24" s="1266"/>
    </row>
    <row r="25" spans="1:6">
      <c r="A25" s="587"/>
      <c r="B25" s="1253" t="s">
        <v>1272</v>
      </c>
      <c r="C25" s="1254" t="s">
        <v>1217</v>
      </c>
      <c r="D25" s="1253" t="s">
        <v>1254</v>
      </c>
      <c r="E25" s="1265">
        <v>2612.8519999999999</v>
      </c>
      <c r="F25" s="1266"/>
    </row>
    <row r="26" spans="1:6">
      <c r="A26" s="587"/>
      <c r="B26" s="1253" t="s">
        <v>1273</v>
      </c>
      <c r="C26" s="1254" t="s">
        <v>1219</v>
      </c>
      <c r="D26" s="1253" t="s">
        <v>1254</v>
      </c>
      <c r="E26" s="1265">
        <v>328.012</v>
      </c>
      <c r="F26" s="1266"/>
    </row>
    <row r="27" spans="1:6">
      <c r="A27" s="587"/>
      <c r="B27" s="1253" t="s">
        <v>1274</v>
      </c>
      <c r="C27" s="1254" t="s">
        <v>1264</v>
      </c>
      <c r="D27" s="1253" t="s">
        <v>1254</v>
      </c>
      <c r="E27" s="1265">
        <v>5.7869999999999999</v>
      </c>
      <c r="F27" s="1266"/>
    </row>
    <row r="28" spans="1:6" ht="15" thickBot="1">
      <c r="A28" s="587"/>
      <c r="B28" s="1267" t="s">
        <v>1275</v>
      </c>
      <c r="C28" s="1268" t="s">
        <v>1266</v>
      </c>
      <c r="D28" s="1269" t="s">
        <v>1254</v>
      </c>
      <c r="E28" s="1270">
        <v>0</v>
      </c>
      <c r="F28" s="1271"/>
    </row>
    <row r="29" spans="1:6" ht="15" thickBot="1">
      <c r="A29" s="587"/>
      <c r="B29" s="1272" t="s">
        <v>103</v>
      </c>
      <c r="C29" s="1239" t="s">
        <v>1276</v>
      </c>
      <c r="D29" s="1272" t="s">
        <v>1254</v>
      </c>
      <c r="E29" s="1273">
        <f>E30+E31+E10</f>
        <v>4829.4113979376152</v>
      </c>
      <c r="F29" s="1274"/>
    </row>
    <row r="30" spans="1:6" ht="15" thickBot="1">
      <c r="A30" s="587"/>
      <c r="B30" s="1272" t="s">
        <v>107</v>
      </c>
      <c r="C30" s="1244" t="s">
        <v>1221</v>
      </c>
      <c r="D30" s="1272" t="s">
        <v>1254</v>
      </c>
      <c r="E30" s="1275">
        <v>2.3037037226842329E-2</v>
      </c>
      <c r="F30" s="1276" t="s">
        <v>1277</v>
      </c>
    </row>
    <row r="31" spans="1:6" ht="15" thickBot="1">
      <c r="A31" s="587"/>
      <c r="B31" s="917" t="s">
        <v>109</v>
      </c>
      <c r="C31" s="1277" t="s">
        <v>1278</v>
      </c>
      <c r="D31" s="917" t="s">
        <v>1254</v>
      </c>
      <c r="E31" s="1278">
        <v>29.1</v>
      </c>
      <c r="F31" s="1276" t="s">
        <v>1279</v>
      </c>
    </row>
    <row r="32" spans="1:6" ht="15" thickBot="1">
      <c r="A32" s="587"/>
      <c r="B32" s="1279" t="s">
        <v>123</v>
      </c>
      <c r="C32" s="1280" t="s">
        <v>1280</v>
      </c>
      <c r="D32" s="1279" t="s">
        <v>1254</v>
      </c>
      <c r="E32" s="1281">
        <v>0.33360206238418577</v>
      </c>
      <c r="F32" s="1282"/>
    </row>
    <row r="33" spans="1:6" ht="15" thickBot="1">
      <c r="A33" s="587"/>
      <c r="B33" s="1279" t="s">
        <v>137</v>
      </c>
      <c r="C33" s="1280" t="s">
        <v>1281</v>
      </c>
      <c r="D33" s="1279" t="s">
        <v>1254</v>
      </c>
      <c r="E33" s="1281">
        <v>247.73400000000001</v>
      </c>
      <c r="F33" s="1283"/>
    </row>
    <row r="34" spans="1:6" ht="15" thickBot="1">
      <c r="A34" s="587"/>
      <c r="B34" s="1279" t="s">
        <v>489</v>
      </c>
      <c r="C34" s="1280" t="s">
        <v>1282</v>
      </c>
      <c r="D34" s="1279" t="s">
        <v>1254</v>
      </c>
      <c r="E34" s="1284">
        <f>E29+E32-E33</f>
        <v>4582.0109999999986</v>
      </c>
      <c r="F34" s="1283"/>
    </row>
    <row r="35" spans="1:6" ht="15" thickBot="1">
      <c r="A35" s="587"/>
      <c r="B35" s="1279" t="s">
        <v>191</v>
      </c>
      <c r="C35" s="1285" t="s">
        <v>1283</v>
      </c>
      <c r="D35" s="918"/>
      <c r="E35" s="918" t="s">
        <v>1284</v>
      </c>
      <c r="F35" s="1286"/>
    </row>
    <row r="36" spans="1:6" ht="15">
      <c r="A36" s="1287"/>
      <c r="B36" s="1243" t="s">
        <v>1285</v>
      </c>
      <c r="C36" s="1288" t="s">
        <v>1286</v>
      </c>
      <c r="D36" s="1243" t="s">
        <v>1287</v>
      </c>
      <c r="E36" s="1289">
        <f>IF((E37+E39)=0,"0",(E21+E23)*100/(E40*(E41+E42+E43)))</f>
        <v>0.55670550697791377</v>
      </c>
      <c r="F36" s="1247"/>
    </row>
    <row r="37" spans="1:6">
      <c r="A37" s="587"/>
      <c r="B37" s="1248" t="s">
        <v>1288</v>
      </c>
      <c r="C37" s="1290" t="s">
        <v>1289</v>
      </c>
      <c r="D37" s="1291" t="s">
        <v>1290</v>
      </c>
      <c r="E37" s="1292">
        <f>'9'!E34</f>
        <v>57.346970613621146</v>
      </c>
      <c r="F37" s="1292" t="s">
        <v>1291</v>
      </c>
    </row>
    <row r="38" spans="1:6">
      <c r="A38" s="587"/>
      <c r="B38" s="1293" t="s">
        <v>1292</v>
      </c>
      <c r="C38" s="1294" t="s">
        <v>963</v>
      </c>
      <c r="D38" s="1295" t="s">
        <v>1290</v>
      </c>
      <c r="E38" s="1292">
        <f>+'9'!E56</f>
        <v>4</v>
      </c>
      <c r="F38" s="1296"/>
    </row>
    <row r="39" spans="1:6">
      <c r="A39" s="587"/>
      <c r="B39" s="1293" t="s">
        <v>1293</v>
      </c>
      <c r="C39" s="1294" t="s">
        <v>1294</v>
      </c>
      <c r="D39" s="1295" t="s">
        <v>1290</v>
      </c>
      <c r="E39" s="1296">
        <f>'9'!E61</f>
        <v>30.396900509732657</v>
      </c>
      <c r="F39" s="1296" t="s">
        <v>1291</v>
      </c>
    </row>
    <row r="40" spans="1:6">
      <c r="A40" s="587"/>
      <c r="B40" s="1293" t="s">
        <v>1295</v>
      </c>
      <c r="C40" s="1294" t="s">
        <v>1296</v>
      </c>
      <c r="D40" s="1295" t="s">
        <v>1290</v>
      </c>
      <c r="E40" s="1296">
        <f>(($E$41*($E$37+$E$38))+($E$42+$E$43)*$E$39)/($E$41+$E$42+$E$43)</f>
        <v>46.231369975872113</v>
      </c>
      <c r="F40" s="1296"/>
    </row>
    <row r="41" spans="1:6">
      <c r="A41" s="587"/>
      <c r="B41" s="1293" t="s">
        <v>1297</v>
      </c>
      <c r="C41" s="1294" t="s">
        <v>1298</v>
      </c>
      <c r="D41" s="1295" t="s">
        <v>728</v>
      </c>
      <c r="E41" s="1292">
        <f>+'8'!E11</f>
        <v>1859.5349999999999</v>
      </c>
      <c r="F41" s="1296"/>
    </row>
    <row r="42" spans="1:6">
      <c r="A42" s="587"/>
      <c r="B42" s="1248" t="s">
        <v>1299</v>
      </c>
      <c r="C42" s="1290" t="s">
        <v>1300</v>
      </c>
      <c r="D42" s="1248" t="s">
        <v>728</v>
      </c>
      <c r="E42" s="1292">
        <f>'8'!E13</f>
        <v>1775.1139999999998</v>
      </c>
      <c r="F42" s="1292" t="s">
        <v>1301</v>
      </c>
    </row>
    <row r="43" spans="1:6" ht="15" thickBot="1">
      <c r="A43" s="587"/>
      <c r="B43" s="1297" t="s">
        <v>1302</v>
      </c>
      <c r="C43" s="1298" t="s">
        <v>727</v>
      </c>
      <c r="D43" s="1297" t="s">
        <v>728</v>
      </c>
      <c r="E43" s="1299">
        <f>+'8'!E16</f>
        <v>0</v>
      </c>
      <c r="F43" s="1299"/>
    </row>
    <row r="44" spans="1:6">
      <c r="A44" s="1287"/>
      <c r="B44" s="1243" t="s">
        <v>1303</v>
      </c>
      <c r="C44" s="1288" t="s">
        <v>1304</v>
      </c>
      <c r="D44" s="1243" t="s">
        <v>1305</v>
      </c>
      <c r="E44" s="1289">
        <f>E22/E46</f>
        <v>4.6913986262817953E-2</v>
      </c>
      <c r="F44" s="1247"/>
    </row>
    <row r="45" spans="1:6" ht="15.5">
      <c r="A45" s="587"/>
      <c r="B45" s="1248" t="s">
        <v>1306</v>
      </c>
      <c r="C45" s="1290" t="s">
        <v>963</v>
      </c>
      <c r="D45" s="1291" t="s">
        <v>1307</v>
      </c>
      <c r="E45" s="1292">
        <f>'9'!E56</f>
        <v>4</v>
      </c>
      <c r="F45" s="1292" t="s">
        <v>1291</v>
      </c>
    </row>
    <row r="46" spans="1:6" ht="16.5" thickBot="1">
      <c r="A46" s="587"/>
      <c r="B46" s="1248" t="s">
        <v>1308</v>
      </c>
      <c r="C46" s="1290" t="s">
        <v>1309</v>
      </c>
      <c r="D46" s="1248" t="s">
        <v>1310</v>
      </c>
      <c r="E46" s="1292">
        <f>'8'!E12</f>
        <v>1854.82</v>
      </c>
      <c r="F46" s="1292" t="s">
        <v>1301</v>
      </c>
    </row>
    <row r="47" spans="1:6" ht="15">
      <c r="A47" s="1287"/>
      <c r="B47" s="1243" t="s">
        <v>1311</v>
      </c>
      <c r="C47" s="1288" t="s">
        <v>1312</v>
      </c>
      <c r="D47" s="1243" t="s">
        <v>1287</v>
      </c>
      <c r="E47" s="1289">
        <f>IF(E48=0,"-",((E24*100)/(E50+E51)/E48))</f>
        <v>0.85608578180342165</v>
      </c>
      <c r="F47" s="1247"/>
    </row>
    <row r="48" spans="1:6" ht="15.5">
      <c r="A48" s="587"/>
      <c r="B48" s="1248" t="s">
        <v>1313</v>
      </c>
      <c r="C48" s="1290" t="s">
        <v>1314</v>
      </c>
      <c r="D48" s="1291" t="s">
        <v>1307</v>
      </c>
      <c r="E48" s="1292">
        <f>'9'!E79</f>
        <v>28.487561450752878</v>
      </c>
      <c r="F48" s="1292" t="s">
        <v>1291</v>
      </c>
    </row>
    <row r="49" spans="1:6" ht="16">
      <c r="A49" s="587"/>
      <c r="B49" s="1248" t="s">
        <v>1315</v>
      </c>
      <c r="C49" s="1290" t="s">
        <v>1316</v>
      </c>
      <c r="D49" s="1248" t="s">
        <v>1310</v>
      </c>
      <c r="E49" s="1292">
        <f>'8'!E34</f>
        <v>2507.8479199999997</v>
      </c>
      <c r="F49" s="1292" t="s">
        <v>1301</v>
      </c>
    </row>
    <row r="50" spans="1:6" ht="16">
      <c r="A50" s="1287"/>
      <c r="B50" s="1248" t="s">
        <v>1317</v>
      </c>
      <c r="C50" s="1290" t="s">
        <v>1318</v>
      </c>
      <c r="D50" s="1248" t="s">
        <v>1310</v>
      </c>
      <c r="E50" s="1292">
        <f>'8'!E37</f>
        <v>2555.6757647058826</v>
      </c>
      <c r="F50" s="1292" t="s">
        <v>1301</v>
      </c>
    </row>
    <row r="51" spans="1:6" ht="16.5" thickBot="1">
      <c r="A51" s="1287"/>
      <c r="B51" s="1297" t="s">
        <v>1319</v>
      </c>
      <c r="C51" s="1298" t="s">
        <v>1320</v>
      </c>
      <c r="D51" s="1248" t="s">
        <v>1310</v>
      </c>
      <c r="E51" s="1299">
        <f>+'8'!E38</f>
        <v>0</v>
      </c>
      <c r="F51" s="1299"/>
    </row>
    <row r="52" spans="1:6">
      <c r="A52" s="1287"/>
      <c r="B52" s="1243" t="s">
        <v>1321</v>
      </c>
      <c r="C52" s="1288" t="s">
        <v>1322</v>
      </c>
      <c r="D52" s="1243" t="s">
        <v>1323</v>
      </c>
      <c r="E52" s="1289">
        <f>IF(E53=0,"-",((E25*1000)/E53))</f>
        <v>2852.7464013205558</v>
      </c>
      <c r="F52" s="1247"/>
    </row>
    <row r="53" spans="1:6" ht="15" thickBot="1">
      <c r="A53" s="587"/>
      <c r="B53" s="1248" t="s">
        <v>1324</v>
      </c>
      <c r="C53" s="1290" t="s">
        <v>1325</v>
      </c>
      <c r="D53" s="1291" t="s">
        <v>1059</v>
      </c>
      <c r="E53" s="1292">
        <f>'9'!E129</f>
        <v>915.90756149600008</v>
      </c>
      <c r="F53" s="1292" t="s">
        <v>1291</v>
      </c>
    </row>
    <row r="54" spans="1:6">
      <c r="A54" s="587"/>
      <c r="B54" s="1243" t="s">
        <v>1326</v>
      </c>
      <c r="C54" s="1288" t="s">
        <v>1327</v>
      </c>
      <c r="D54" s="1243" t="s">
        <v>1328</v>
      </c>
      <c r="E54" s="1247">
        <f>IFERROR(E55/(E29-E33-E30), 0)</f>
        <v>0.13296219597452175</v>
      </c>
      <c r="F54" s="1247"/>
    </row>
    <row r="55" spans="1:6" ht="15" thickBot="1">
      <c r="A55" s="587"/>
      <c r="B55" s="1300" t="s">
        <v>1329</v>
      </c>
      <c r="C55" s="1301" t="s">
        <v>1330</v>
      </c>
      <c r="D55" s="1302" t="s">
        <v>1234</v>
      </c>
      <c r="E55" s="1303">
        <f>+'4'!E13+'4'!I13+'4'!M13</f>
        <v>609.18682502155957</v>
      </c>
      <c r="F55" s="1303" t="s">
        <v>122</v>
      </c>
    </row>
    <row r="56" spans="1:6">
      <c r="A56" s="587"/>
      <c r="B56" s="587"/>
      <c r="C56" s="587"/>
      <c r="D56" s="587"/>
      <c r="E56" s="587"/>
      <c r="F56" s="587"/>
    </row>
    <row r="57" spans="1:6">
      <c r="A57" s="587"/>
      <c r="B57" s="587"/>
      <c r="C57" s="75" t="s">
        <v>1250</v>
      </c>
      <c r="D57" s="587"/>
      <c r="E57" s="587"/>
      <c r="F57" s="587"/>
    </row>
  </sheetData>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3D243-471B-40DE-8732-EB7271F66053}">
  <sheetPr>
    <tabColor theme="0" tint="-0.14999847407452621"/>
    <pageSetUpPr fitToPage="1"/>
  </sheetPr>
  <dimension ref="A1:K102"/>
  <sheetViews>
    <sheetView zoomScale="85" zoomScaleNormal="85" workbookViewId="0">
      <selection activeCell="B9" sqref="B9"/>
    </sheetView>
  </sheetViews>
  <sheetFormatPr defaultRowHeight="14.5"/>
  <cols>
    <col min="2" max="2" width="8.7265625" style="128"/>
    <col min="3" max="3" width="67.81640625" style="128" customWidth="1"/>
    <col min="4" max="4" width="22.54296875" customWidth="1"/>
    <col min="5" max="5" width="20.1796875" customWidth="1"/>
    <col min="6" max="6" width="18.1796875" customWidth="1"/>
    <col min="7" max="7" width="32.1796875" bestFit="1" customWidth="1"/>
    <col min="8" max="8" width="11.26953125" customWidth="1"/>
  </cols>
  <sheetData>
    <row r="1" spans="1:11">
      <c r="A1" s="32"/>
      <c r="B1" s="32"/>
      <c r="C1" s="32"/>
      <c r="D1" s="32"/>
      <c r="E1" s="32"/>
      <c r="F1" s="32"/>
      <c r="G1" s="33"/>
      <c r="H1" s="32"/>
      <c r="I1" s="32"/>
      <c r="J1" s="32"/>
      <c r="K1" s="32"/>
    </row>
    <row r="2" spans="1:11" ht="80.5">
      <c r="A2" s="32"/>
      <c r="B2" s="32"/>
      <c r="C2" s="32"/>
      <c r="D2" s="32"/>
      <c r="E2" s="1" t="s">
        <v>56</v>
      </c>
      <c r="F2" s="32"/>
      <c r="G2" s="33"/>
      <c r="H2" s="32"/>
      <c r="I2" s="32"/>
      <c r="J2" s="32"/>
      <c r="K2" s="32"/>
    </row>
    <row r="3" spans="1:11">
      <c r="A3" s="32"/>
      <c r="B3" s="32"/>
      <c r="C3" s="32" t="s">
        <v>1331</v>
      </c>
      <c r="D3" s="32"/>
      <c r="E3" s="1"/>
      <c r="F3" s="32"/>
      <c r="G3" s="33"/>
      <c r="H3" s="32"/>
      <c r="I3" s="32"/>
      <c r="J3" s="32"/>
      <c r="K3" s="32"/>
    </row>
    <row r="4" spans="1:11">
      <c r="A4" s="32"/>
      <c r="B4" s="32"/>
      <c r="C4" s="32" t="s">
        <v>1332</v>
      </c>
      <c r="D4" s="32"/>
      <c r="E4" s="1"/>
      <c r="F4" s="32"/>
      <c r="G4" s="33"/>
      <c r="H4" s="32"/>
      <c r="I4" s="32"/>
      <c r="J4" s="32"/>
      <c r="K4" s="32"/>
    </row>
    <row r="5" spans="1:11">
      <c r="A5" s="32"/>
      <c r="B5" s="32"/>
      <c r="C5" s="32"/>
      <c r="D5" s="32"/>
      <c r="E5" s="1"/>
      <c r="F5" s="32"/>
      <c r="G5" s="33"/>
      <c r="H5" s="32"/>
      <c r="I5" s="32"/>
      <c r="J5" s="32"/>
      <c r="K5" s="32"/>
    </row>
    <row r="6" spans="1:11" ht="15.5">
      <c r="A6" s="32"/>
      <c r="B6" s="32"/>
      <c r="C6" s="34" t="s">
        <v>57</v>
      </c>
      <c r="D6" s="32"/>
      <c r="E6" s="32"/>
      <c r="F6" s="32"/>
      <c r="G6" s="33"/>
      <c r="H6" s="32"/>
      <c r="I6" s="32"/>
      <c r="J6" s="32"/>
      <c r="K6" s="32"/>
    </row>
    <row r="7" spans="1:11" ht="15.5">
      <c r="A7" s="32"/>
      <c r="B7" s="32"/>
      <c r="C7" s="34"/>
      <c r="D7" s="32"/>
      <c r="E7" s="32"/>
      <c r="F7" s="32"/>
      <c r="G7" s="33"/>
      <c r="H7" s="32"/>
      <c r="I7" s="32"/>
      <c r="J7" s="32"/>
      <c r="K7" s="32"/>
    </row>
    <row r="8" spans="1:11" ht="15" thickBot="1">
      <c r="A8" s="32"/>
      <c r="B8" s="32"/>
      <c r="C8" s="32"/>
      <c r="D8" s="32"/>
      <c r="E8" s="32"/>
      <c r="F8" s="32"/>
      <c r="G8" s="33"/>
      <c r="H8" s="32"/>
      <c r="I8" s="32"/>
      <c r="J8" s="32"/>
      <c r="K8" s="32"/>
    </row>
    <row r="9" spans="1:11" ht="15" thickBot="1">
      <c r="A9" s="32"/>
      <c r="B9" s="35" t="s">
        <v>2</v>
      </c>
      <c r="C9" s="36" t="s">
        <v>58</v>
      </c>
      <c r="D9" s="37" t="s">
        <v>59</v>
      </c>
      <c r="E9" s="38" t="s">
        <v>60</v>
      </c>
      <c r="F9" s="32"/>
      <c r="G9" s="33"/>
      <c r="H9" s="32"/>
      <c r="I9" s="32"/>
      <c r="J9" s="32"/>
      <c r="K9" s="32"/>
    </row>
    <row r="10" spans="1:11" ht="15" thickBot="1">
      <c r="A10" s="32"/>
      <c r="B10" s="39" t="s">
        <v>5</v>
      </c>
      <c r="C10" s="40" t="s">
        <v>61</v>
      </c>
      <c r="D10" s="41"/>
      <c r="E10" s="42"/>
      <c r="F10" s="32"/>
      <c r="G10" s="33"/>
      <c r="H10" s="32"/>
      <c r="I10" s="32"/>
      <c r="J10" s="32"/>
      <c r="K10" s="32"/>
    </row>
    <row r="11" spans="1:11" ht="23.5" thickBot="1">
      <c r="A11" s="32"/>
      <c r="B11" s="39" t="s">
        <v>62</v>
      </c>
      <c r="C11" s="40" t="s">
        <v>63</v>
      </c>
      <c r="D11" s="43">
        <f>D12+D15+D31</f>
        <v>5422.5741322999993</v>
      </c>
      <c r="E11" s="44"/>
      <c r="F11" s="32"/>
      <c r="G11" s="33"/>
      <c r="H11" s="45"/>
      <c r="I11" s="32"/>
      <c r="J11" s="32"/>
      <c r="K11" s="32"/>
    </row>
    <row r="12" spans="1:11">
      <c r="A12" s="32"/>
      <c r="B12" s="46" t="s">
        <v>64</v>
      </c>
      <c r="C12" s="47" t="s">
        <v>65</v>
      </c>
      <c r="D12" s="48">
        <f>SUM(D13:D14)</f>
        <v>1634.3735231000001</v>
      </c>
      <c r="E12" s="49"/>
      <c r="F12" s="32"/>
      <c r="G12" s="33"/>
      <c r="H12" s="32"/>
      <c r="I12" s="32"/>
      <c r="J12" s="32"/>
      <c r="K12" s="32"/>
    </row>
    <row r="13" spans="1:11">
      <c r="A13" s="32"/>
      <c r="B13" s="50" t="s">
        <v>66</v>
      </c>
      <c r="C13" s="51" t="s">
        <v>67</v>
      </c>
      <c r="D13" s="52">
        <v>1630.4383631000001</v>
      </c>
      <c r="E13" s="53"/>
      <c r="F13" s="32"/>
      <c r="G13" s="33"/>
      <c r="H13" s="32"/>
      <c r="I13" s="32"/>
      <c r="J13" s="32"/>
      <c r="K13" s="32"/>
    </row>
    <row r="14" spans="1:11" ht="15" thickBot="1">
      <c r="A14" s="32"/>
      <c r="B14" s="54" t="s">
        <v>68</v>
      </c>
      <c r="C14" s="55" t="s">
        <v>69</v>
      </c>
      <c r="D14" s="56">
        <v>3.9351599999999998</v>
      </c>
      <c r="E14" s="57"/>
      <c r="F14" s="32"/>
      <c r="G14" s="33"/>
      <c r="H14" s="32"/>
      <c r="I14" s="32"/>
      <c r="J14" s="32"/>
      <c r="K14" s="32"/>
    </row>
    <row r="15" spans="1:11">
      <c r="A15" s="32"/>
      <c r="B15" s="46" t="s">
        <v>70</v>
      </c>
      <c r="C15" s="47" t="s">
        <v>71</v>
      </c>
      <c r="D15" s="48">
        <f>D16+D20+D26</f>
        <v>3426.6080529999995</v>
      </c>
      <c r="E15" s="49"/>
      <c r="F15" s="32"/>
      <c r="G15" s="33"/>
      <c r="H15" s="32"/>
      <c r="I15" s="32"/>
      <c r="J15" s="32"/>
      <c r="K15" s="32"/>
    </row>
    <row r="16" spans="1:11">
      <c r="A16" s="32"/>
      <c r="B16" s="58" t="s">
        <v>72</v>
      </c>
      <c r="C16" s="59" t="s">
        <v>73</v>
      </c>
      <c r="D16" s="60">
        <f>SUM(D17:D19)</f>
        <v>1134.4662370999999</v>
      </c>
      <c r="E16" s="53"/>
      <c r="F16" s="32"/>
      <c r="G16" s="33"/>
      <c r="H16" s="32"/>
      <c r="I16" s="32"/>
      <c r="J16" s="32"/>
      <c r="K16" s="32"/>
    </row>
    <row r="17" spans="1:11">
      <c r="A17" s="32"/>
      <c r="B17" s="50" t="s">
        <v>74</v>
      </c>
      <c r="C17" s="51" t="s">
        <v>75</v>
      </c>
      <c r="D17" s="52">
        <v>1134.4662370999999</v>
      </c>
      <c r="E17" s="53"/>
      <c r="F17" s="32"/>
      <c r="G17" s="33"/>
      <c r="H17" s="32"/>
      <c r="I17" s="32"/>
      <c r="J17" s="32"/>
      <c r="K17" s="32"/>
    </row>
    <row r="18" spans="1:11">
      <c r="A18" s="32"/>
      <c r="B18" s="50" t="s">
        <v>76</v>
      </c>
      <c r="C18" s="51" t="s">
        <v>77</v>
      </c>
      <c r="D18" s="52">
        <v>0</v>
      </c>
      <c r="E18" s="53"/>
      <c r="F18" s="32"/>
      <c r="G18" s="33"/>
      <c r="H18" s="32"/>
      <c r="I18" s="32"/>
      <c r="J18" s="32"/>
      <c r="K18" s="32"/>
    </row>
    <row r="19" spans="1:11">
      <c r="A19" s="32"/>
      <c r="B19" s="50" t="s">
        <v>78</v>
      </c>
      <c r="C19" s="51" t="s">
        <v>69</v>
      </c>
      <c r="D19" s="52">
        <v>0</v>
      </c>
      <c r="E19" s="53"/>
      <c r="F19" s="32"/>
      <c r="G19" s="33"/>
      <c r="H19" s="32"/>
      <c r="I19" s="32"/>
      <c r="J19" s="32"/>
      <c r="K19" s="32" t="s">
        <v>79</v>
      </c>
    </row>
    <row r="20" spans="1:11">
      <c r="A20" s="32"/>
      <c r="B20" s="58" t="s">
        <v>80</v>
      </c>
      <c r="C20" s="59" t="s">
        <v>81</v>
      </c>
      <c r="D20" s="60">
        <f>SUM(D21:D25)</f>
        <v>1447.4321674999999</v>
      </c>
      <c r="E20" s="53"/>
      <c r="F20" s="32"/>
      <c r="G20" s="33"/>
      <c r="H20" s="32"/>
      <c r="I20" s="32"/>
      <c r="J20" s="32"/>
      <c r="K20" s="32"/>
    </row>
    <row r="21" spans="1:11">
      <c r="A21" s="32"/>
      <c r="B21" s="50" t="s">
        <v>82</v>
      </c>
      <c r="C21" s="51" t="s">
        <v>83</v>
      </c>
      <c r="D21" s="52">
        <v>1342.5115974999999</v>
      </c>
      <c r="E21" s="53"/>
      <c r="F21" s="32"/>
      <c r="G21" s="33"/>
      <c r="H21" s="32"/>
      <c r="I21" s="32"/>
      <c r="J21" s="32"/>
      <c r="K21" s="32"/>
    </row>
    <row r="22" spans="1:11">
      <c r="A22" s="32"/>
      <c r="B22" s="50" t="s">
        <v>84</v>
      </c>
      <c r="C22" s="51" t="s">
        <v>85</v>
      </c>
      <c r="D22" s="52">
        <v>104.92057000000005</v>
      </c>
      <c r="E22" s="53"/>
      <c r="F22" s="32"/>
      <c r="G22" s="33"/>
      <c r="H22" s="32"/>
      <c r="I22" s="32"/>
      <c r="J22" s="32"/>
      <c r="K22" s="32"/>
    </row>
    <row r="23" spans="1:11">
      <c r="A23" s="32"/>
      <c r="B23" s="50" t="s">
        <v>86</v>
      </c>
      <c r="C23" s="51" t="s">
        <v>77</v>
      </c>
      <c r="D23" s="52">
        <v>0</v>
      </c>
      <c r="E23" s="53"/>
      <c r="F23" s="32"/>
      <c r="G23" s="33"/>
      <c r="H23" s="32"/>
      <c r="I23" s="32"/>
      <c r="J23" s="32"/>
      <c r="K23" s="32"/>
    </row>
    <row r="24" spans="1:11">
      <c r="A24" s="32"/>
      <c r="B24" s="50" t="s">
        <v>87</v>
      </c>
      <c r="C24" s="51" t="s">
        <v>69</v>
      </c>
      <c r="D24" s="52">
        <v>0</v>
      </c>
      <c r="E24" s="53"/>
      <c r="F24" s="32"/>
      <c r="G24" s="33"/>
      <c r="H24" s="32"/>
      <c r="I24" s="32"/>
      <c r="J24" s="32"/>
      <c r="K24" s="32"/>
    </row>
    <row r="25" spans="1:11">
      <c r="A25" s="32"/>
      <c r="B25" s="50" t="s">
        <v>88</v>
      </c>
      <c r="C25" s="51" t="s">
        <v>89</v>
      </c>
      <c r="D25" s="52">
        <v>0</v>
      </c>
      <c r="E25" s="53"/>
      <c r="F25" s="32"/>
      <c r="G25" s="33"/>
      <c r="H25" s="32"/>
      <c r="I25" s="32"/>
      <c r="J25" s="32"/>
      <c r="K25" s="32"/>
    </row>
    <row r="26" spans="1:11">
      <c r="A26" s="32"/>
      <c r="B26" s="58" t="s">
        <v>90</v>
      </c>
      <c r="C26" s="59" t="s">
        <v>91</v>
      </c>
      <c r="D26" s="60">
        <f>SUM(D27:D30)</f>
        <v>844.70964839999988</v>
      </c>
      <c r="E26" s="53"/>
      <c r="F26" s="32"/>
      <c r="G26" s="33"/>
      <c r="H26" s="32"/>
      <c r="I26" s="32"/>
      <c r="J26" s="32"/>
      <c r="K26" s="32"/>
    </row>
    <row r="27" spans="1:11">
      <c r="A27" s="32"/>
      <c r="B27" s="50" t="s">
        <v>92</v>
      </c>
      <c r="C27" s="51" t="s">
        <v>93</v>
      </c>
      <c r="D27" s="52">
        <v>844.70964839999988</v>
      </c>
      <c r="E27" s="53"/>
      <c r="F27" s="32"/>
      <c r="G27" s="33"/>
      <c r="H27" s="32"/>
      <c r="I27" s="32"/>
      <c r="J27" s="32"/>
      <c r="K27" s="32"/>
    </row>
    <row r="28" spans="1:11">
      <c r="A28" s="32"/>
      <c r="B28" s="50" t="s">
        <v>94</v>
      </c>
      <c r="C28" s="51" t="s">
        <v>95</v>
      </c>
      <c r="D28" s="52">
        <v>0</v>
      </c>
      <c r="E28" s="53"/>
      <c r="F28" s="32"/>
      <c r="G28" s="33"/>
      <c r="H28" s="32"/>
      <c r="I28" s="32"/>
      <c r="J28" s="32"/>
      <c r="K28" s="32"/>
    </row>
    <row r="29" spans="1:11">
      <c r="A29" s="32"/>
      <c r="B29" s="54" t="s">
        <v>96</v>
      </c>
      <c r="C29" s="55" t="s">
        <v>77</v>
      </c>
      <c r="D29" s="56">
        <v>0</v>
      </c>
      <c r="E29" s="57"/>
      <c r="F29" s="32"/>
      <c r="G29" s="33"/>
      <c r="H29" s="32"/>
      <c r="I29" s="32"/>
      <c r="J29" s="32"/>
      <c r="K29" s="32"/>
    </row>
    <row r="30" spans="1:11" ht="15" thickBot="1">
      <c r="A30" s="32"/>
      <c r="B30" s="54" t="s">
        <v>97</v>
      </c>
      <c r="C30" s="55" t="s">
        <v>69</v>
      </c>
      <c r="D30" s="56">
        <v>0</v>
      </c>
      <c r="E30" s="57"/>
      <c r="F30" s="32"/>
      <c r="G30" s="33"/>
      <c r="H30" s="32"/>
      <c r="I30" s="32"/>
      <c r="J30" s="32"/>
      <c r="K30" s="32"/>
    </row>
    <row r="31" spans="1:11">
      <c r="A31" s="32"/>
      <c r="B31" s="46" t="s">
        <v>98</v>
      </c>
      <c r="C31" s="47" t="s">
        <v>99</v>
      </c>
      <c r="D31" s="61">
        <f>SUM(D32+D33)</f>
        <v>361.59255619999999</v>
      </c>
      <c r="E31" s="49"/>
      <c r="F31" s="32"/>
      <c r="G31" s="33"/>
      <c r="H31" s="32"/>
      <c r="I31" s="32"/>
      <c r="J31" s="32"/>
      <c r="K31" s="32"/>
    </row>
    <row r="32" spans="1:11">
      <c r="A32" s="32"/>
      <c r="B32" s="50" t="s">
        <v>100</v>
      </c>
      <c r="C32" s="51" t="s">
        <v>101</v>
      </c>
      <c r="D32" s="52">
        <v>361.59255619999999</v>
      </c>
      <c r="E32" s="53"/>
      <c r="F32" s="32"/>
      <c r="G32" s="33"/>
      <c r="H32" s="32"/>
      <c r="I32" s="32"/>
      <c r="J32" s="32"/>
      <c r="K32" s="32"/>
    </row>
    <row r="33" spans="1:11" ht="15" thickBot="1">
      <c r="A33" s="32"/>
      <c r="B33" s="50" t="s">
        <v>102</v>
      </c>
      <c r="C33" s="55" t="s">
        <v>69</v>
      </c>
      <c r="D33" s="56">
        <v>0</v>
      </c>
      <c r="E33" s="57"/>
      <c r="F33" s="32"/>
      <c r="G33" s="33"/>
      <c r="H33" s="32"/>
      <c r="I33" s="32"/>
      <c r="J33" s="32"/>
      <c r="K33" s="32"/>
    </row>
    <row r="34" spans="1:11">
      <c r="A34" s="32"/>
      <c r="B34" s="46" t="s">
        <v>103</v>
      </c>
      <c r="C34" s="62" t="s">
        <v>104</v>
      </c>
      <c r="D34" s="48">
        <f>D35+D40</f>
        <v>466.25727999999998</v>
      </c>
      <c r="E34" s="49"/>
      <c r="F34" s="32"/>
      <c r="G34" s="33"/>
      <c r="H34" s="32"/>
      <c r="I34" s="32"/>
      <c r="J34" s="32"/>
      <c r="K34" s="32"/>
    </row>
    <row r="35" spans="1:11">
      <c r="A35" s="32"/>
      <c r="B35" s="58" t="s">
        <v>105</v>
      </c>
      <c r="C35" s="59" t="s">
        <v>106</v>
      </c>
      <c r="D35" s="60">
        <f>SUM(D36:D39)</f>
        <v>352.80068999999997</v>
      </c>
      <c r="E35" s="53"/>
      <c r="F35" s="32"/>
      <c r="G35" s="33"/>
      <c r="H35" s="32"/>
      <c r="I35" s="32"/>
      <c r="J35" s="32"/>
      <c r="K35" s="32"/>
    </row>
    <row r="36" spans="1:11">
      <c r="A36" s="32"/>
      <c r="B36" s="50" t="s">
        <v>107</v>
      </c>
      <c r="C36" s="51" t="s">
        <v>108</v>
      </c>
      <c r="D36" s="52">
        <v>352.80068999999997</v>
      </c>
      <c r="E36" s="53"/>
      <c r="F36" s="32"/>
      <c r="G36" s="33"/>
      <c r="H36" s="32"/>
      <c r="I36" s="32"/>
      <c r="J36" s="32"/>
      <c r="K36" s="32"/>
    </row>
    <row r="37" spans="1:11">
      <c r="A37" s="32"/>
      <c r="B37" s="50" t="s">
        <v>109</v>
      </c>
      <c r="C37" s="51" t="s">
        <v>110</v>
      </c>
      <c r="D37" s="52">
        <v>0</v>
      </c>
      <c r="E37" s="53"/>
      <c r="F37" s="32"/>
      <c r="G37" s="33"/>
      <c r="H37" s="32"/>
      <c r="I37" s="32"/>
      <c r="J37" s="32"/>
      <c r="K37" s="32"/>
    </row>
    <row r="38" spans="1:11">
      <c r="A38" s="32"/>
      <c r="B38" s="50" t="s">
        <v>111</v>
      </c>
      <c r="C38" s="51" t="s">
        <v>112</v>
      </c>
      <c r="D38" s="52">
        <v>0</v>
      </c>
      <c r="E38" s="53"/>
      <c r="F38" s="32"/>
      <c r="G38" s="33"/>
      <c r="H38" s="32"/>
      <c r="I38" s="32"/>
      <c r="J38" s="32"/>
      <c r="K38" s="32"/>
    </row>
    <row r="39" spans="1:11">
      <c r="A39" s="32"/>
      <c r="B39" s="50" t="s">
        <v>113</v>
      </c>
      <c r="C39" s="51" t="s">
        <v>69</v>
      </c>
      <c r="D39" s="52">
        <v>0</v>
      </c>
      <c r="E39" s="53"/>
      <c r="F39" s="32"/>
      <c r="G39" s="33"/>
      <c r="H39" s="32"/>
      <c r="I39" s="32"/>
      <c r="J39" s="32"/>
      <c r="K39" s="32"/>
    </row>
    <row r="40" spans="1:11">
      <c r="A40" s="32"/>
      <c r="B40" s="58" t="s">
        <v>114</v>
      </c>
      <c r="C40" s="59" t="s">
        <v>115</v>
      </c>
      <c r="D40" s="60">
        <f>SUM(D41:D43)</f>
        <v>113.45659000000002</v>
      </c>
      <c r="E40" s="53"/>
      <c r="F40" s="32"/>
      <c r="G40" s="33"/>
      <c r="H40" s="32"/>
      <c r="I40" s="32"/>
      <c r="J40" s="32"/>
      <c r="K40" s="32"/>
    </row>
    <row r="41" spans="1:11">
      <c r="A41" s="32"/>
      <c r="B41" s="50" t="s">
        <v>116</v>
      </c>
      <c r="C41" s="51" t="s">
        <v>117</v>
      </c>
      <c r="D41" s="63">
        <v>109.52143000000002</v>
      </c>
      <c r="E41" s="53"/>
      <c r="F41" s="32"/>
      <c r="G41" s="33"/>
      <c r="H41" s="32"/>
      <c r="I41" s="32"/>
      <c r="J41" s="32"/>
      <c r="K41" s="32"/>
    </row>
    <row r="42" spans="1:11">
      <c r="A42" s="32"/>
      <c r="B42" s="50" t="s">
        <v>118</v>
      </c>
      <c r="C42" s="51" t="s">
        <v>69</v>
      </c>
      <c r="D42" s="52">
        <f>D33+D30+D24+D19+D14+D39</f>
        <v>3.9351599999999998</v>
      </c>
      <c r="E42" s="53"/>
      <c r="F42" s="32"/>
      <c r="G42" s="33"/>
      <c r="H42" s="32"/>
      <c r="I42" s="32"/>
      <c r="J42" s="32"/>
      <c r="K42" s="32"/>
    </row>
    <row r="43" spans="1:11" ht="15" thickBot="1">
      <c r="A43" s="32"/>
      <c r="B43" s="64" t="s">
        <v>119</v>
      </c>
      <c r="C43" s="65" t="s">
        <v>89</v>
      </c>
      <c r="D43" s="66">
        <v>0</v>
      </c>
      <c r="E43" s="67"/>
      <c r="F43" s="32"/>
      <c r="G43" s="33"/>
      <c r="H43" s="32"/>
      <c r="I43" s="32"/>
      <c r="J43" s="32"/>
      <c r="K43" s="32"/>
    </row>
    <row r="44" spans="1:11" ht="15" thickBot="1">
      <c r="A44" s="32"/>
      <c r="B44" s="68" t="s">
        <v>120</v>
      </c>
      <c r="C44" s="69" t="s">
        <v>121</v>
      </c>
      <c r="D44" s="70">
        <f>D45+D52</f>
        <v>4772.2053903326469</v>
      </c>
      <c r="E44" s="71" t="s">
        <v>122</v>
      </c>
      <c r="F44" s="32"/>
      <c r="G44" s="33"/>
      <c r="H44" s="45"/>
      <c r="I44" s="32"/>
      <c r="J44" s="32"/>
      <c r="K44" s="32"/>
    </row>
    <row r="45" spans="1:11" ht="23">
      <c r="A45" s="32"/>
      <c r="B45" s="46" t="s">
        <v>123</v>
      </c>
      <c r="C45" s="62" t="s">
        <v>124</v>
      </c>
      <c r="D45" s="48">
        <f>D46+D47+D51</f>
        <v>4568.0019715778799</v>
      </c>
      <c r="E45" s="49" t="s">
        <v>122</v>
      </c>
      <c r="F45" s="32"/>
      <c r="G45" s="33"/>
      <c r="H45" s="45"/>
      <c r="I45" s="32"/>
      <c r="J45" s="32"/>
      <c r="K45" s="32"/>
    </row>
    <row r="46" spans="1:11">
      <c r="A46" s="32"/>
      <c r="B46" s="50" t="s">
        <v>125</v>
      </c>
      <c r="C46" s="72" t="s">
        <v>126</v>
      </c>
      <c r="D46" s="73">
        <f>'4'!E23</f>
        <v>1489.119743276216</v>
      </c>
      <c r="E46" s="53" t="s">
        <v>122</v>
      </c>
      <c r="F46" s="32"/>
      <c r="G46" s="33"/>
      <c r="H46" s="32"/>
      <c r="I46" s="32"/>
      <c r="J46" s="32"/>
      <c r="K46" s="32"/>
    </row>
    <row r="47" spans="1:11">
      <c r="A47" s="32"/>
      <c r="B47" s="50" t="s">
        <v>127</v>
      </c>
      <c r="C47" s="72" t="s">
        <v>128</v>
      </c>
      <c r="D47" s="74">
        <f>'4'!I23</f>
        <v>2892.3290922271258</v>
      </c>
      <c r="E47" s="53" t="s">
        <v>122</v>
      </c>
      <c r="F47" s="32"/>
      <c r="G47" s="33"/>
      <c r="H47" s="32"/>
      <c r="I47" s="32"/>
      <c r="J47" s="32"/>
      <c r="K47" s="32"/>
    </row>
    <row r="48" spans="1:11">
      <c r="A48" s="75"/>
      <c r="B48" s="76" t="s">
        <v>129</v>
      </c>
      <c r="C48" s="77" t="s">
        <v>130</v>
      </c>
      <c r="D48" s="78">
        <f>'4'!$J$23</f>
        <v>1167.3776782426089</v>
      </c>
      <c r="E48" s="79" t="s">
        <v>122</v>
      </c>
      <c r="F48" s="32"/>
      <c r="G48" s="80"/>
      <c r="H48" s="75"/>
      <c r="I48" s="75"/>
      <c r="J48" s="75"/>
      <c r="K48" s="75"/>
    </row>
    <row r="49" spans="1:11">
      <c r="A49" s="75"/>
      <c r="B49" s="76" t="s">
        <v>131</v>
      </c>
      <c r="C49" s="77" t="s">
        <v>132</v>
      </c>
      <c r="D49" s="78">
        <f>'4'!$K$23</f>
        <v>1284.2086301802931</v>
      </c>
      <c r="E49" s="79" t="s">
        <v>122</v>
      </c>
      <c r="F49" s="32"/>
      <c r="G49" s="80"/>
      <c r="H49" s="75"/>
      <c r="I49" s="75"/>
      <c r="J49" s="75"/>
      <c r="K49" s="75"/>
    </row>
    <row r="50" spans="1:11">
      <c r="A50" s="75"/>
      <c r="B50" s="76" t="s">
        <v>133</v>
      </c>
      <c r="C50" s="77" t="s">
        <v>134</v>
      </c>
      <c r="D50" s="78">
        <f>'4'!$L$23</f>
        <v>440.74278380422328</v>
      </c>
      <c r="E50" s="79" t="s">
        <v>122</v>
      </c>
      <c r="F50" s="32"/>
      <c r="G50" s="80"/>
      <c r="H50" s="75"/>
      <c r="I50" s="75"/>
      <c r="J50" s="75"/>
      <c r="K50" s="75"/>
    </row>
    <row r="51" spans="1:11" ht="15" thickBot="1">
      <c r="A51" s="32"/>
      <c r="B51" s="54" t="s">
        <v>135</v>
      </c>
      <c r="C51" s="72" t="s">
        <v>136</v>
      </c>
      <c r="D51" s="73">
        <f>'4'!$M$23</f>
        <v>186.5531360745382</v>
      </c>
      <c r="E51" s="53" t="s">
        <v>122</v>
      </c>
      <c r="F51" s="32"/>
      <c r="G51" s="33"/>
      <c r="H51" s="32"/>
      <c r="I51" s="32"/>
      <c r="J51" s="32"/>
      <c r="K51" s="32"/>
    </row>
    <row r="52" spans="1:11">
      <c r="A52" s="32"/>
      <c r="B52" s="46" t="s">
        <v>137</v>
      </c>
      <c r="C52" s="62" t="s">
        <v>138</v>
      </c>
      <c r="D52" s="48">
        <f>SUM(D53:D55)</f>
        <v>204.20341875476717</v>
      </c>
      <c r="E52" s="49" t="s">
        <v>122</v>
      </c>
      <c r="F52" s="32"/>
      <c r="G52" s="81"/>
      <c r="H52" s="45"/>
      <c r="I52" s="32"/>
      <c r="J52" s="32"/>
      <c r="K52" s="32"/>
    </row>
    <row r="53" spans="1:11">
      <c r="A53" s="32"/>
      <c r="B53" s="54" t="s">
        <v>139</v>
      </c>
      <c r="C53" s="82" t="s">
        <v>140</v>
      </c>
      <c r="D53" s="83">
        <f>'4'!O23</f>
        <v>167.95619103895348</v>
      </c>
      <c r="E53" s="57" t="s">
        <v>122</v>
      </c>
      <c r="F53" s="32"/>
      <c r="G53" s="33"/>
      <c r="H53" s="32"/>
      <c r="I53" s="32"/>
      <c r="J53" s="32"/>
      <c r="K53" s="32"/>
    </row>
    <row r="54" spans="1:11">
      <c r="A54" s="32"/>
      <c r="B54" s="50" t="s">
        <v>141</v>
      </c>
      <c r="C54" s="72" t="s">
        <v>142</v>
      </c>
      <c r="D54" s="73">
        <f>'4'!$P$23</f>
        <v>0</v>
      </c>
      <c r="E54" s="53" t="s">
        <v>122</v>
      </c>
      <c r="F54" s="32"/>
      <c r="G54" s="84"/>
      <c r="H54" s="32"/>
      <c r="I54" s="32"/>
      <c r="J54" s="32"/>
      <c r="K54" s="32"/>
    </row>
    <row r="55" spans="1:11" ht="15" thickBot="1">
      <c r="A55" s="32"/>
      <c r="B55" s="54" t="s">
        <v>143</v>
      </c>
      <c r="C55" s="82" t="s">
        <v>144</v>
      </c>
      <c r="D55" s="83">
        <f>'4'!$Q$23</f>
        <v>36.247227715813693</v>
      </c>
      <c r="E55" s="57" t="s">
        <v>122</v>
      </c>
      <c r="F55" s="32"/>
      <c r="G55" s="33"/>
      <c r="H55" s="32"/>
      <c r="I55" s="32"/>
      <c r="J55" s="32"/>
      <c r="K55" s="32"/>
    </row>
    <row r="56" spans="1:11">
      <c r="A56" s="32"/>
      <c r="B56" s="46" t="s">
        <v>145</v>
      </c>
      <c r="C56" s="85" t="s">
        <v>146</v>
      </c>
      <c r="D56" s="48">
        <f>SUM(D57:D76)</f>
        <v>415.88309966735324</v>
      </c>
      <c r="E56" s="49"/>
      <c r="F56" s="32"/>
      <c r="G56" s="81"/>
      <c r="H56" s="45"/>
      <c r="I56" s="32"/>
      <c r="J56" s="32"/>
      <c r="K56" s="32"/>
    </row>
    <row r="57" spans="1:11">
      <c r="A57" s="32"/>
      <c r="B57" s="86" t="s">
        <v>147</v>
      </c>
      <c r="C57" s="87" t="s">
        <v>148</v>
      </c>
      <c r="D57" s="88">
        <v>14.760880000000002</v>
      </c>
      <c r="E57" s="89"/>
      <c r="F57" s="32"/>
      <c r="G57" s="81"/>
      <c r="H57" s="32"/>
      <c r="I57" s="32"/>
      <c r="J57" s="32"/>
      <c r="K57" s="32"/>
    </row>
    <row r="58" spans="1:11" ht="52.5">
      <c r="A58" s="32"/>
      <c r="B58" s="90" t="s">
        <v>149</v>
      </c>
      <c r="C58" s="87" t="s">
        <v>150</v>
      </c>
      <c r="D58" s="88">
        <v>0</v>
      </c>
      <c r="E58" s="89"/>
      <c r="F58" s="32"/>
      <c r="G58" s="84"/>
      <c r="H58" s="32"/>
      <c r="I58" s="32"/>
      <c r="J58" s="32"/>
      <c r="K58" s="32"/>
    </row>
    <row r="59" spans="1:11">
      <c r="A59" s="32"/>
      <c r="B59" s="90" t="s">
        <v>151</v>
      </c>
      <c r="C59" s="87" t="s">
        <v>152</v>
      </c>
      <c r="D59" s="88">
        <v>0</v>
      </c>
      <c r="E59" s="89"/>
      <c r="F59" s="32"/>
      <c r="G59" s="33"/>
      <c r="H59" s="32"/>
      <c r="I59" s="32"/>
      <c r="J59" s="32"/>
      <c r="K59" s="32"/>
    </row>
    <row r="60" spans="1:11" ht="26.5">
      <c r="A60" s="32"/>
      <c r="B60" s="90" t="s">
        <v>153</v>
      </c>
      <c r="C60" s="87" t="s">
        <v>154</v>
      </c>
      <c r="D60" s="88">
        <v>4.3964400000000001</v>
      </c>
      <c r="E60" s="89"/>
      <c r="F60" s="32"/>
      <c r="G60" s="33"/>
      <c r="H60" s="32"/>
      <c r="I60" s="32"/>
      <c r="J60" s="32"/>
      <c r="K60" s="32"/>
    </row>
    <row r="61" spans="1:11">
      <c r="A61" s="32"/>
      <c r="B61" s="90" t="s">
        <v>155</v>
      </c>
      <c r="C61" s="87" t="s">
        <v>156</v>
      </c>
      <c r="D61" s="88">
        <v>26.633560000000003</v>
      </c>
      <c r="E61" s="89"/>
      <c r="F61" s="32"/>
      <c r="G61" s="33"/>
      <c r="H61" s="32"/>
      <c r="I61" s="32"/>
      <c r="J61" s="32"/>
      <c r="K61" s="32"/>
    </row>
    <row r="62" spans="1:11" ht="52.5">
      <c r="A62" s="32"/>
      <c r="B62" s="90" t="s">
        <v>157</v>
      </c>
      <c r="C62" s="87" t="s">
        <v>158</v>
      </c>
      <c r="D62" s="88">
        <v>3.57348</v>
      </c>
      <c r="E62" s="89"/>
      <c r="F62" s="32"/>
      <c r="G62" s="33"/>
      <c r="H62" s="32"/>
      <c r="I62" s="32"/>
      <c r="J62" s="32"/>
      <c r="K62" s="32"/>
    </row>
    <row r="63" spans="1:11" ht="26.5">
      <c r="A63" s="32"/>
      <c r="B63" s="90" t="s">
        <v>159</v>
      </c>
      <c r="C63" s="87" t="s">
        <v>160</v>
      </c>
      <c r="D63" s="88">
        <v>0.14000000000000001</v>
      </c>
      <c r="E63" s="89"/>
      <c r="F63" s="32"/>
      <c r="G63" s="33"/>
      <c r="H63" s="32"/>
      <c r="I63" s="32"/>
      <c r="J63" s="32"/>
      <c r="K63" s="32"/>
    </row>
    <row r="64" spans="1:11" ht="91.5">
      <c r="A64" s="32"/>
      <c r="B64" s="90" t="s">
        <v>161</v>
      </c>
      <c r="C64" s="87" t="s">
        <v>162</v>
      </c>
      <c r="D64" s="88">
        <v>0</v>
      </c>
      <c r="E64" s="91"/>
      <c r="F64" s="32"/>
      <c r="G64" s="33"/>
      <c r="H64" s="32"/>
      <c r="I64" s="32"/>
      <c r="J64" s="32"/>
      <c r="K64" s="32"/>
    </row>
    <row r="65" spans="1:11">
      <c r="A65" s="32"/>
      <c r="B65" s="90" t="s">
        <v>163</v>
      </c>
      <c r="C65" s="87" t="s">
        <v>164</v>
      </c>
      <c r="D65" s="88">
        <v>0</v>
      </c>
      <c r="E65" s="89"/>
      <c r="F65" s="32"/>
      <c r="G65" s="33"/>
      <c r="H65" s="32"/>
      <c r="I65" s="32"/>
      <c r="J65" s="32"/>
      <c r="K65" s="32"/>
    </row>
    <row r="66" spans="1:11" ht="39.5">
      <c r="A66" s="32"/>
      <c r="B66" s="90" t="s">
        <v>165</v>
      </c>
      <c r="C66" s="87" t="s">
        <v>166</v>
      </c>
      <c r="D66" s="88">
        <v>0</v>
      </c>
      <c r="E66" s="89"/>
      <c r="F66" s="32"/>
      <c r="G66" s="84"/>
      <c r="H66" s="32"/>
      <c r="I66" s="32"/>
      <c r="J66" s="32"/>
      <c r="K66" s="32"/>
    </row>
    <row r="67" spans="1:11" ht="26.5">
      <c r="A67" s="32"/>
      <c r="B67" s="90" t="s">
        <v>167</v>
      </c>
      <c r="C67" s="87" t="s">
        <v>168</v>
      </c>
      <c r="D67" s="88">
        <v>0</v>
      </c>
      <c r="E67" s="89"/>
      <c r="F67" s="32"/>
      <c r="G67" s="33"/>
      <c r="H67" s="32"/>
      <c r="I67" s="32"/>
      <c r="J67" s="32"/>
      <c r="K67" s="32"/>
    </row>
    <row r="68" spans="1:11" ht="26.5">
      <c r="A68" s="32"/>
      <c r="B68" s="90" t="s">
        <v>169</v>
      </c>
      <c r="C68" s="87" t="s">
        <v>170</v>
      </c>
      <c r="D68" s="88">
        <v>0</v>
      </c>
      <c r="E68" s="89"/>
      <c r="F68" s="32"/>
      <c r="G68" s="33"/>
      <c r="H68" s="32"/>
      <c r="I68" s="32"/>
      <c r="J68" s="32"/>
      <c r="K68" s="32"/>
    </row>
    <row r="69" spans="1:11" ht="26.5">
      <c r="A69" s="32"/>
      <c r="B69" s="90" t="s">
        <v>171</v>
      </c>
      <c r="C69" s="87" t="s">
        <v>172</v>
      </c>
      <c r="D69" s="88">
        <v>0</v>
      </c>
      <c r="E69" s="89"/>
      <c r="F69" s="32"/>
      <c r="G69" s="33"/>
      <c r="H69" s="32"/>
      <c r="I69" s="32"/>
      <c r="J69" s="32"/>
      <c r="K69" s="32"/>
    </row>
    <row r="70" spans="1:11" ht="65.5">
      <c r="A70" s="32"/>
      <c r="B70" s="90" t="s">
        <v>173</v>
      </c>
      <c r="C70" s="87" t="s">
        <v>174</v>
      </c>
      <c r="D70" s="88">
        <v>94.411129999999986</v>
      </c>
      <c r="E70" s="89"/>
      <c r="F70" s="32"/>
      <c r="G70" s="33"/>
      <c r="H70" s="32"/>
      <c r="I70" s="32"/>
      <c r="J70" s="32"/>
      <c r="K70" s="32"/>
    </row>
    <row r="71" spans="1:11" ht="65.5">
      <c r="A71" s="32"/>
      <c r="B71" s="92" t="s">
        <v>175</v>
      </c>
      <c r="C71" s="87" t="s">
        <v>176</v>
      </c>
      <c r="D71" s="93">
        <v>8.8308600000000013</v>
      </c>
      <c r="E71" s="94"/>
      <c r="F71" s="32"/>
      <c r="G71" s="33"/>
      <c r="H71" s="32"/>
      <c r="I71" s="32"/>
      <c r="J71" s="32"/>
      <c r="K71" s="32"/>
    </row>
    <row r="72" spans="1:11" ht="26.5">
      <c r="A72" s="32"/>
      <c r="B72" s="92" t="s">
        <v>177</v>
      </c>
      <c r="C72" s="87" t="s">
        <v>178</v>
      </c>
      <c r="D72" s="93">
        <v>0</v>
      </c>
      <c r="E72" s="94"/>
      <c r="F72" s="32"/>
      <c r="G72" s="33"/>
      <c r="H72" s="32"/>
      <c r="I72" s="32"/>
      <c r="J72" s="32"/>
      <c r="K72" s="32"/>
    </row>
    <row r="73" spans="1:11" ht="52.5">
      <c r="A73" s="32"/>
      <c r="B73" s="92" t="s">
        <v>179</v>
      </c>
      <c r="C73" s="87" t="s">
        <v>180</v>
      </c>
      <c r="D73" s="93">
        <v>0</v>
      </c>
      <c r="E73" s="94"/>
      <c r="F73" s="32"/>
      <c r="G73" s="33"/>
      <c r="H73" s="32"/>
      <c r="I73" s="32"/>
      <c r="J73" s="32"/>
      <c r="K73" s="32"/>
    </row>
    <row r="74" spans="1:11" ht="26.5">
      <c r="A74" s="32"/>
      <c r="B74" s="92" t="s">
        <v>181</v>
      </c>
      <c r="C74" s="87" t="s">
        <v>182</v>
      </c>
      <c r="D74" s="93">
        <v>0</v>
      </c>
      <c r="E74" s="94"/>
      <c r="F74" s="32"/>
      <c r="G74" s="33"/>
      <c r="H74" s="32"/>
      <c r="I74" s="32"/>
      <c r="J74" s="32"/>
      <c r="K74" s="32"/>
    </row>
    <row r="75" spans="1:11">
      <c r="A75" s="32"/>
      <c r="B75" s="92" t="s">
        <v>183</v>
      </c>
      <c r="C75" s="87" t="s">
        <v>184</v>
      </c>
      <c r="D75" s="93">
        <v>0</v>
      </c>
      <c r="E75" s="94"/>
      <c r="F75" s="32"/>
      <c r="G75" s="33"/>
      <c r="H75" s="32"/>
      <c r="I75" s="32"/>
      <c r="J75" s="32"/>
      <c r="K75" s="32"/>
    </row>
    <row r="76" spans="1:11" ht="27" thickBot="1">
      <c r="A76" s="32"/>
      <c r="B76" s="95" t="s">
        <v>185</v>
      </c>
      <c r="C76" s="96" t="s">
        <v>186</v>
      </c>
      <c r="D76" s="97">
        <v>263.13674966735329</v>
      </c>
      <c r="E76" s="98"/>
      <c r="F76" s="32"/>
      <c r="G76" s="33"/>
      <c r="H76" s="32"/>
      <c r="I76" s="32"/>
      <c r="J76" s="32"/>
      <c r="K76" s="32"/>
    </row>
    <row r="77" spans="1:11" ht="15" thickBot="1">
      <c r="A77" s="32"/>
      <c r="B77" s="99" t="s">
        <v>187</v>
      </c>
      <c r="C77" s="100" t="s">
        <v>188</v>
      </c>
      <c r="D77" s="101">
        <v>0</v>
      </c>
      <c r="E77" s="102"/>
      <c r="F77" s="32"/>
      <c r="G77" s="33"/>
      <c r="H77" s="32"/>
      <c r="I77" s="32"/>
      <c r="J77" s="32"/>
      <c r="K77" s="32"/>
    </row>
    <row r="78" spans="1:11" ht="15" thickBot="1">
      <c r="A78" s="32"/>
      <c r="B78" s="103" t="s">
        <v>189</v>
      </c>
      <c r="C78" s="104" t="s">
        <v>190</v>
      </c>
      <c r="D78" s="70">
        <f>D11+D34-D45-D52-D56</f>
        <v>700.74292229999878</v>
      </c>
      <c r="E78" s="71"/>
      <c r="F78" s="32"/>
      <c r="G78" s="33"/>
      <c r="H78" s="45"/>
      <c r="I78" s="32"/>
      <c r="J78" s="32"/>
      <c r="K78" s="32"/>
    </row>
    <row r="79" spans="1:11" ht="23">
      <c r="A79" s="105"/>
      <c r="B79" s="106" t="s">
        <v>191</v>
      </c>
      <c r="C79" s="107" t="s">
        <v>192</v>
      </c>
      <c r="D79" s="108">
        <f>D11-D45</f>
        <v>854.57216072211941</v>
      </c>
      <c r="E79" s="109"/>
      <c r="F79" s="32"/>
      <c r="G79" s="110"/>
      <c r="H79" s="45"/>
      <c r="I79" s="105"/>
      <c r="J79" s="105"/>
      <c r="K79" s="105"/>
    </row>
    <row r="80" spans="1:11">
      <c r="A80" s="32"/>
      <c r="B80" s="111" t="s">
        <v>193</v>
      </c>
      <c r="C80" s="112" t="s">
        <v>194</v>
      </c>
      <c r="D80" s="73">
        <f>D12-D46</f>
        <v>145.25377982378404</v>
      </c>
      <c r="E80" s="53"/>
      <c r="F80" s="32"/>
      <c r="G80" s="33"/>
      <c r="H80" s="32"/>
      <c r="I80" s="32"/>
      <c r="J80" s="32"/>
      <c r="K80" s="32"/>
    </row>
    <row r="81" spans="1:11">
      <c r="A81" s="32"/>
      <c r="B81" s="111" t="s">
        <v>195</v>
      </c>
      <c r="C81" s="112" t="s">
        <v>196</v>
      </c>
      <c r="D81" s="73">
        <f>D15-D47</f>
        <v>534.27896077287369</v>
      </c>
      <c r="E81" s="53"/>
      <c r="F81" s="32"/>
      <c r="G81" s="33"/>
      <c r="H81" s="32"/>
      <c r="I81" s="32"/>
      <c r="J81" s="32"/>
      <c r="K81" s="32"/>
    </row>
    <row r="82" spans="1:11">
      <c r="A82" s="32"/>
      <c r="B82" s="111" t="s">
        <v>197</v>
      </c>
      <c r="C82" s="112" t="s">
        <v>198</v>
      </c>
      <c r="D82" s="73">
        <f>D16-D48</f>
        <v>-32.911441142608965</v>
      </c>
      <c r="E82" s="53"/>
      <c r="F82" s="32"/>
      <c r="G82" s="33"/>
      <c r="H82" s="32"/>
      <c r="I82" s="32"/>
      <c r="J82" s="32"/>
      <c r="K82" s="32"/>
    </row>
    <row r="83" spans="1:11">
      <c r="A83" s="32"/>
      <c r="B83" s="111" t="s">
        <v>199</v>
      </c>
      <c r="C83" s="112" t="s">
        <v>200</v>
      </c>
      <c r="D83" s="73">
        <f>D20-D49</f>
        <v>163.22353731970679</v>
      </c>
      <c r="E83" s="53"/>
      <c r="F83" s="32"/>
      <c r="G83" s="33"/>
      <c r="H83" s="32"/>
      <c r="I83" s="32"/>
      <c r="J83" s="32"/>
      <c r="K83" s="32"/>
    </row>
    <row r="84" spans="1:11">
      <c r="A84" s="32"/>
      <c r="B84" s="111" t="s">
        <v>201</v>
      </c>
      <c r="C84" s="112" t="s">
        <v>202</v>
      </c>
      <c r="D84" s="73">
        <f>D26-D50</f>
        <v>403.9668645957766</v>
      </c>
      <c r="E84" s="53"/>
      <c r="F84" s="32"/>
      <c r="G84" s="33"/>
      <c r="H84" s="32"/>
      <c r="I84" s="32"/>
      <c r="J84" s="32"/>
      <c r="K84" s="32"/>
    </row>
    <row r="85" spans="1:11" ht="15" thickBot="1">
      <c r="A85" s="32"/>
      <c r="B85" s="113" t="s">
        <v>203</v>
      </c>
      <c r="C85" s="112" t="s">
        <v>204</v>
      </c>
      <c r="D85" s="73">
        <f>D31-D51</f>
        <v>175.03942012546179</v>
      </c>
      <c r="E85" s="53"/>
      <c r="F85" s="32"/>
      <c r="G85" s="33"/>
      <c r="H85" s="32"/>
      <c r="I85" s="32"/>
      <c r="J85" s="32"/>
      <c r="K85" s="32"/>
    </row>
    <row r="86" spans="1:11">
      <c r="A86" s="32"/>
      <c r="B86" s="114" t="s">
        <v>205</v>
      </c>
      <c r="C86" s="115" t="s">
        <v>206</v>
      </c>
      <c r="D86" s="48">
        <f>D34-D52</f>
        <v>262.05386124523284</v>
      </c>
      <c r="E86" s="49"/>
      <c r="F86" s="32"/>
      <c r="G86" s="33"/>
      <c r="H86" s="45"/>
      <c r="I86" s="32"/>
      <c r="J86" s="32"/>
      <c r="K86" s="32"/>
    </row>
    <row r="87" spans="1:11">
      <c r="A87" s="32"/>
      <c r="B87" s="113" t="s">
        <v>207</v>
      </c>
      <c r="C87" s="116" t="s">
        <v>208</v>
      </c>
      <c r="D87" s="73">
        <f>D36-D53</f>
        <v>184.8444989610465</v>
      </c>
      <c r="E87" s="57"/>
      <c r="F87" s="32"/>
      <c r="G87" s="33"/>
      <c r="H87" s="32"/>
      <c r="I87" s="32"/>
      <c r="J87" s="32"/>
      <c r="K87" s="32"/>
    </row>
    <row r="88" spans="1:11">
      <c r="A88" s="32"/>
      <c r="B88" s="111" t="s">
        <v>209</v>
      </c>
      <c r="C88" s="112" t="s">
        <v>210</v>
      </c>
      <c r="D88" s="73">
        <f>D38+D39-D54</f>
        <v>0</v>
      </c>
      <c r="E88" s="53"/>
      <c r="F88" s="32"/>
      <c r="G88" s="33"/>
      <c r="H88" s="32"/>
      <c r="I88" s="32"/>
      <c r="J88" s="32"/>
      <c r="K88" s="32"/>
    </row>
    <row r="89" spans="1:11">
      <c r="A89" s="32"/>
      <c r="B89" s="113" t="s">
        <v>211</v>
      </c>
      <c r="C89" s="116" t="s">
        <v>212</v>
      </c>
      <c r="D89" s="83">
        <f>IFERROR(D40-D55,"-")</f>
        <v>77.209362284186327</v>
      </c>
      <c r="E89" s="57"/>
      <c r="F89" s="32"/>
      <c r="G89" s="33"/>
      <c r="H89" s="32"/>
      <c r="I89" s="32"/>
      <c r="J89" s="32"/>
      <c r="K89" s="32"/>
    </row>
    <row r="90" spans="1:11" ht="15" thickBot="1">
      <c r="A90" s="32"/>
      <c r="B90" s="117" t="s">
        <v>213</v>
      </c>
      <c r="C90" s="118" t="s">
        <v>214</v>
      </c>
      <c r="D90" s="119">
        <v>0</v>
      </c>
      <c r="E90" s="57"/>
      <c r="F90" s="32"/>
      <c r="G90" s="33"/>
      <c r="H90" s="32"/>
      <c r="I90" s="32"/>
      <c r="J90" s="32"/>
      <c r="K90" s="32"/>
    </row>
    <row r="91" spans="1:11" ht="15.65" customHeight="1" thickBot="1">
      <c r="A91" s="32"/>
      <c r="B91" s="103" t="s">
        <v>215</v>
      </c>
      <c r="C91" s="120" t="s">
        <v>216</v>
      </c>
      <c r="D91" s="121">
        <v>0</v>
      </c>
      <c r="E91" s="71"/>
      <c r="F91" s="32"/>
      <c r="G91" s="33"/>
      <c r="H91" s="45"/>
      <c r="I91" s="32"/>
      <c r="J91" s="32"/>
      <c r="K91" s="32"/>
    </row>
    <row r="92" spans="1:11" ht="15" thickBot="1">
      <c r="A92" s="32"/>
      <c r="B92" s="103" t="s">
        <v>217</v>
      </c>
      <c r="C92" s="120" t="s">
        <v>218</v>
      </c>
      <c r="D92" s="70">
        <f>IFERROR(D78+D90-D91,"-")</f>
        <v>700.74292229999878</v>
      </c>
      <c r="E92" s="71"/>
      <c r="F92" s="32"/>
      <c r="G92" s="33"/>
      <c r="H92" s="45"/>
      <c r="I92" s="32"/>
      <c r="J92" s="32"/>
      <c r="K92" s="32"/>
    </row>
    <row r="93" spans="1:11" ht="23">
      <c r="A93" s="32"/>
      <c r="B93" s="106" t="s">
        <v>219</v>
      </c>
      <c r="C93" s="107" t="s">
        <v>220</v>
      </c>
      <c r="D93" s="122">
        <f>IFERROR((D79/D11)*100,"-")</f>
        <v>15.75952932817998</v>
      </c>
      <c r="E93" s="123"/>
      <c r="F93" s="32"/>
      <c r="G93" s="33"/>
      <c r="H93" s="32"/>
      <c r="I93" s="32"/>
      <c r="J93" s="32"/>
      <c r="K93" s="32"/>
    </row>
    <row r="94" spans="1:11" ht="12.65" customHeight="1">
      <c r="A94" s="32"/>
      <c r="B94" s="111" t="s">
        <v>221</v>
      </c>
      <c r="C94" s="112" t="s">
        <v>222</v>
      </c>
      <c r="D94" s="73">
        <f>IFERROR((D80/D12)*100,"-")</f>
        <v>8.8874285939406157</v>
      </c>
      <c r="E94" s="53"/>
      <c r="F94" s="32"/>
      <c r="G94" s="33"/>
      <c r="H94" s="32"/>
      <c r="I94" s="32"/>
      <c r="J94" s="32"/>
      <c r="K94" s="32"/>
    </row>
    <row r="95" spans="1:11">
      <c r="A95" s="32"/>
      <c r="B95" s="111" t="s">
        <v>223</v>
      </c>
      <c r="C95" s="112" t="s">
        <v>224</v>
      </c>
      <c r="D95" s="73">
        <f>IFERROR((D81/D15)*100,"-")</f>
        <v>15.592065170835975</v>
      </c>
      <c r="E95" s="53"/>
      <c r="F95" s="32"/>
      <c r="G95" s="33"/>
      <c r="H95" s="32"/>
      <c r="I95" s="32"/>
      <c r="J95" s="32"/>
      <c r="K95" s="32"/>
    </row>
    <row r="96" spans="1:11">
      <c r="A96" s="32"/>
      <c r="B96" s="111" t="s">
        <v>225</v>
      </c>
      <c r="C96" s="112" t="s">
        <v>226</v>
      </c>
      <c r="D96" s="73">
        <f>IFERROR((D82/D16)*100,"-")</f>
        <v>-2.9010507378993875</v>
      </c>
      <c r="E96" s="53"/>
      <c r="F96" s="32"/>
      <c r="G96" s="33"/>
      <c r="H96" s="32"/>
      <c r="I96" s="32"/>
      <c r="J96" s="32"/>
      <c r="K96" s="32"/>
    </row>
    <row r="97" spans="1:11">
      <c r="A97" s="32"/>
      <c r="B97" s="111" t="s">
        <v>227</v>
      </c>
      <c r="C97" s="112" t="s">
        <v>228</v>
      </c>
      <c r="D97" s="73">
        <f>IFERROR((D83/D20)*100,"-")</f>
        <v>11.276765915851239</v>
      </c>
      <c r="E97" s="53"/>
      <c r="F97" s="32"/>
      <c r="G97" s="33"/>
      <c r="H97" s="32"/>
      <c r="I97" s="32"/>
      <c r="J97" s="32"/>
      <c r="K97" s="32"/>
    </row>
    <row r="98" spans="1:11">
      <c r="A98" s="32"/>
      <c r="B98" s="111" t="s">
        <v>229</v>
      </c>
      <c r="C98" s="112" t="s">
        <v>230</v>
      </c>
      <c r="D98" s="73">
        <f>IFERROR((D84/D26)*100,"-")</f>
        <v>47.823162119782495</v>
      </c>
      <c r="E98" s="53"/>
      <c r="F98" s="32"/>
      <c r="G98" s="33"/>
      <c r="H98" s="32"/>
      <c r="I98" s="32"/>
      <c r="J98" s="32"/>
      <c r="K98" s="32"/>
    </row>
    <row r="99" spans="1:11" ht="23.5" thickBot="1">
      <c r="A99" s="32"/>
      <c r="B99" s="124" t="s">
        <v>231</v>
      </c>
      <c r="C99" s="125" t="s">
        <v>232</v>
      </c>
      <c r="D99" s="126">
        <f>IFERROR((D85/D31)*100,"-")</f>
        <v>48.407915794772599</v>
      </c>
      <c r="E99" s="127"/>
      <c r="F99" s="32"/>
      <c r="G99" s="33"/>
      <c r="H99" s="32"/>
      <c r="I99" s="32"/>
      <c r="J99" s="32"/>
      <c r="K99" s="32"/>
    </row>
    <row r="100" spans="1:11">
      <c r="A100" s="32"/>
      <c r="B100" s="32"/>
      <c r="C100" s="32"/>
      <c r="D100" s="32"/>
      <c r="E100" s="32"/>
      <c r="F100" s="32"/>
      <c r="G100" s="33"/>
      <c r="H100" s="32"/>
      <c r="I100" s="32"/>
      <c r="J100" s="32"/>
      <c r="K100" s="32"/>
    </row>
    <row r="101" spans="1:11">
      <c r="A101" s="32"/>
      <c r="B101" s="32"/>
      <c r="C101" s="80" t="s">
        <v>233</v>
      </c>
      <c r="D101" s="32"/>
      <c r="E101" s="32"/>
      <c r="F101" s="32"/>
      <c r="G101" s="33"/>
      <c r="H101" s="32"/>
      <c r="I101" s="32"/>
      <c r="J101" s="32"/>
      <c r="K101" s="32"/>
    </row>
    <row r="102" spans="1:11">
      <c r="A102" s="32"/>
      <c r="B102" s="32"/>
      <c r="C102" s="80" t="s">
        <v>234</v>
      </c>
      <c r="D102" s="32"/>
      <c r="E102" s="32"/>
      <c r="F102" s="32"/>
      <c r="G102" s="33"/>
      <c r="H102" s="32"/>
      <c r="I102" s="32"/>
      <c r="J102" s="32"/>
      <c r="K102" s="32"/>
    </row>
  </sheetData>
  <pageMargins left="0.70866141732283472" right="0.70866141732283472" top="0.74803149606299213" bottom="0.74803149606299213" header="0.31496062992125984" footer="0.31496062992125984"/>
  <pageSetup paperSize="9" scale="3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355AD-2E77-481D-8DAA-9C8B4A0FF55B}">
  <sheetPr>
    <tabColor theme="0" tint="-0.14999847407452621"/>
    <pageSetUpPr fitToPage="1"/>
  </sheetPr>
  <dimension ref="A2:V248"/>
  <sheetViews>
    <sheetView zoomScale="70" zoomScaleNormal="70" workbookViewId="0">
      <selection activeCell="D8" sqref="D8"/>
    </sheetView>
  </sheetViews>
  <sheetFormatPr defaultRowHeight="14.5"/>
  <cols>
    <col min="1" max="1" width="8.7265625" style="129"/>
    <col min="2" max="2" width="12.81640625" customWidth="1"/>
    <col min="3" max="3" width="71.1796875" customWidth="1"/>
    <col min="4" max="4" width="13.54296875" customWidth="1"/>
    <col min="5" max="5" width="13.453125" customWidth="1"/>
    <col min="6" max="6" width="16.81640625" customWidth="1"/>
    <col min="7" max="7" width="16.1796875" customWidth="1"/>
    <col min="8" max="8" width="15.7265625" customWidth="1"/>
    <col min="9" max="9" width="14" customWidth="1"/>
    <col min="10" max="11" width="14.54296875" customWidth="1"/>
    <col min="12" max="12" width="16.54296875" customWidth="1"/>
    <col min="13" max="14" width="15" customWidth="1"/>
    <col min="15" max="15" width="14" customWidth="1"/>
    <col min="16" max="16" width="17.81640625" customWidth="1"/>
    <col min="17" max="17" width="23.26953125" customWidth="1"/>
    <col min="18" max="18" width="9.81640625" style="128" customWidth="1"/>
    <col min="19" max="19" width="8.7265625" style="128"/>
  </cols>
  <sheetData>
    <row r="2" spans="1:22" ht="69">
      <c r="C2" s="32" t="s">
        <v>1331</v>
      </c>
      <c r="E2" s="130"/>
      <c r="O2" s="130"/>
      <c r="Q2" s="1" t="s">
        <v>235</v>
      </c>
    </row>
    <row r="3" spans="1:22">
      <c r="C3" s="32" t="s">
        <v>1332</v>
      </c>
    </row>
    <row r="4" spans="1:22">
      <c r="C4" s="131"/>
    </row>
    <row r="5" spans="1:22" ht="15">
      <c r="C5" s="132" t="s">
        <v>236</v>
      </c>
    </row>
    <row r="6" spans="1:22" ht="15">
      <c r="C6" s="132"/>
    </row>
    <row r="7" spans="1:22" ht="15">
      <c r="C7" s="132"/>
    </row>
    <row r="8" spans="1:22" ht="15" thickBot="1"/>
    <row r="9" spans="1:22" ht="91.5" thickBot="1">
      <c r="B9" s="133" t="s">
        <v>2</v>
      </c>
      <c r="C9" s="134" t="s">
        <v>237</v>
      </c>
      <c r="D9" s="135" t="s">
        <v>238</v>
      </c>
      <c r="E9" s="136" t="s">
        <v>239</v>
      </c>
      <c r="F9" s="137" t="s">
        <v>240</v>
      </c>
      <c r="G9" s="138" t="s">
        <v>241</v>
      </c>
      <c r="H9" s="139" t="s">
        <v>242</v>
      </c>
      <c r="I9" s="135" t="s">
        <v>243</v>
      </c>
      <c r="J9" s="137" t="s">
        <v>244</v>
      </c>
      <c r="K9" s="138" t="s">
        <v>245</v>
      </c>
      <c r="L9" s="140" t="s">
        <v>246</v>
      </c>
      <c r="M9" s="141" t="s">
        <v>247</v>
      </c>
      <c r="N9" s="135" t="s">
        <v>248</v>
      </c>
      <c r="O9" s="142" t="s">
        <v>249</v>
      </c>
      <c r="P9" s="139" t="s">
        <v>250</v>
      </c>
      <c r="Q9" s="136" t="s">
        <v>251</v>
      </c>
    </row>
    <row r="10" spans="1:22" ht="15.5" thickTop="1" thickBot="1">
      <c r="B10" s="143" t="s">
        <v>62</v>
      </c>
      <c r="C10" s="144" t="s">
        <v>252</v>
      </c>
      <c r="D10" s="145"/>
      <c r="E10" s="146"/>
      <c r="F10" s="147"/>
      <c r="G10" s="148"/>
      <c r="H10" s="149"/>
      <c r="I10" s="145"/>
      <c r="J10" s="147"/>
      <c r="K10" s="148"/>
      <c r="L10" s="148"/>
      <c r="M10" s="150"/>
      <c r="N10" s="145"/>
      <c r="O10" s="151"/>
      <c r="P10" s="149"/>
      <c r="Q10" s="145"/>
    </row>
    <row r="11" spans="1:22" ht="15.5" thickTop="1" thickBot="1">
      <c r="B11" s="152" t="s">
        <v>64</v>
      </c>
      <c r="C11" s="153" t="s">
        <v>253</v>
      </c>
      <c r="D11" s="154">
        <f>D30</f>
        <v>0</v>
      </c>
      <c r="E11" s="155">
        <f>E30</f>
        <v>0</v>
      </c>
      <c r="F11" s="156">
        <f>F30</f>
        <v>0</v>
      </c>
      <c r="G11" s="157">
        <f t="shared" ref="E11:Q12" si="0">G30</f>
        <v>0</v>
      </c>
      <c r="H11" s="158">
        <f t="shared" si="0"/>
        <v>0</v>
      </c>
      <c r="I11" s="154">
        <f t="shared" si="0"/>
        <v>0</v>
      </c>
      <c r="J11" s="156">
        <f t="shared" si="0"/>
        <v>0</v>
      </c>
      <c r="K11" s="157">
        <f t="shared" si="0"/>
        <v>0</v>
      </c>
      <c r="L11" s="157">
        <f t="shared" si="0"/>
        <v>0</v>
      </c>
      <c r="M11" s="159">
        <f t="shared" si="0"/>
        <v>0</v>
      </c>
      <c r="N11" s="154">
        <f>O11+P11</f>
        <v>0</v>
      </c>
      <c r="O11" s="160">
        <f>O30</f>
        <v>0</v>
      </c>
      <c r="P11" s="158">
        <f t="shared" si="0"/>
        <v>0</v>
      </c>
      <c r="Q11" s="154">
        <f t="shared" si="0"/>
        <v>0</v>
      </c>
      <c r="T11" s="128"/>
      <c r="U11" s="128"/>
      <c r="V11" s="128"/>
    </row>
    <row r="12" spans="1:22" ht="15" thickBot="1">
      <c r="B12" s="161" t="s">
        <v>70</v>
      </c>
      <c r="C12" s="162" t="s">
        <v>254</v>
      </c>
      <c r="D12" s="163">
        <f>D31</f>
        <v>0</v>
      </c>
      <c r="E12" s="164">
        <f t="shared" si="0"/>
        <v>0</v>
      </c>
      <c r="F12" s="165">
        <f t="shared" si="0"/>
        <v>0</v>
      </c>
      <c r="G12" s="166">
        <f t="shared" si="0"/>
        <v>0</v>
      </c>
      <c r="H12" s="167">
        <f t="shared" si="0"/>
        <v>0</v>
      </c>
      <c r="I12" s="163">
        <f t="shared" si="0"/>
        <v>0</v>
      </c>
      <c r="J12" s="165">
        <f t="shared" si="0"/>
        <v>0</v>
      </c>
      <c r="K12" s="166">
        <f t="shared" si="0"/>
        <v>0</v>
      </c>
      <c r="L12" s="166">
        <f t="shared" si="0"/>
        <v>0</v>
      </c>
      <c r="M12" s="168">
        <f t="shared" si="0"/>
        <v>0</v>
      </c>
      <c r="N12" s="163">
        <f t="shared" ref="N12:N77" si="1">O12+P12</f>
        <v>0</v>
      </c>
      <c r="O12" s="169">
        <f>O31</f>
        <v>0</v>
      </c>
      <c r="P12" s="167">
        <f t="shared" si="0"/>
        <v>0</v>
      </c>
      <c r="Q12" s="163">
        <f t="shared" si="0"/>
        <v>0</v>
      </c>
    </row>
    <row r="13" spans="1:22">
      <c r="B13" s="161" t="s">
        <v>98</v>
      </c>
      <c r="C13" s="162" t="s">
        <v>255</v>
      </c>
      <c r="D13" s="163">
        <f>D34+D93+D191</f>
        <v>609.44457999999997</v>
      </c>
      <c r="E13" s="164">
        <f t="shared" ref="E13:Q13" si="2">E34+E93+E191</f>
        <v>144.89250939103025</v>
      </c>
      <c r="F13" s="165">
        <f t="shared" si="2"/>
        <v>77.89404082013381</v>
      </c>
      <c r="G13" s="166">
        <f t="shared" si="2"/>
        <v>16.824842322865692</v>
      </c>
      <c r="H13" s="167">
        <f t="shared" si="2"/>
        <v>50.173626248030736</v>
      </c>
      <c r="I13" s="163">
        <f t="shared" si="2"/>
        <v>461.70119555700109</v>
      </c>
      <c r="J13" s="165">
        <f t="shared" si="2"/>
        <v>105.82796483014663</v>
      </c>
      <c r="K13" s="166">
        <f t="shared" si="2"/>
        <v>339.50217828942573</v>
      </c>
      <c r="L13" s="166">
        <f t="shared" si="2"/>
        <v>16.371052437428744</v>
      </c>
      <c r="M13" s="168">
        <f t="shared" si="2"/>
        <v>2.5931200735282576</v>
      </c>
      <c r="N13" s="163">
        <f t="shared" si="1"/>
        <v>0.17539631850315496</v>
      </c>
      <c r="O13" s="169">
        <f>O34+O93+O191</f>
        <v>0.17539631850315496</v>
      </c>
      <c r="P13" s="167">
        <f t="shared" si="2"/>
        <v>0</v>
      </c>
      <c r="Q13" s="163">
        <f t="shared" si="2"/>
        <v>8.2358659937320985E-2</v>
      </c>
    </row>
    <row r="14" spans="1:22" ht="26.5" thickBot="1">
      <c r="A14" s="170"/>
      <c r="B14" s="171" t="s">
        <v>100</v>
      </c>
      <c r="C14" s="172" t="s">
        <v>256</v>
      </c>
      <c r="D14" s="173">
        <f t="shared" ref="D14:Q14" si="3">D35+D94</f>
        <v>578.47751000000005</v>
      </c>
      <c r="E14" s="174">
        <f t="shared" si="3"/>
        <v>135.31336000000002</v>
      </c>
      <c r="F14" s="175">
        <f t="shared" si="3"/>
        <v>75.493820000000014</v>
      </c>
      <c r="G14" s="176">
        <f t="shared" si="3"/>
        <v>13.71935</v>
      </c>
      <c r="H14" s="177">
        <f t="shared" si="3"/>
        <v>46.100190000000005</v>
      </c>
      <c r="I14" s="173">
        <f t="shared" si="3"/>
        <v>441.82714000000004</v>
      </c>
      <c r="J14" s="175">
        <f t="shared" si="3"/>
        <v>98.593159999999997</v>
      </c>
      <c r="K14" s="176">
        <f t="shared" si="3"/>
        <v>331.69213000000002</v>
      </c>
      <c r="L14" s="176">
        <f t="shared" si="3"/>
        <v>11.54185</v>
      </c>
      <c r="M14" s="178">
        <f t="shared" si="3"/>
        <v>1.33701</v>
      </c>
      <c r="N14" s="173">
        <f t="shared" si="1"/>
        <v>0</v>
      </c>
      <c r="O14" s="179">
        <f>O35+O94</f>
        <v>0</v>
      </c>
      <c r="P14" s="177">
        <f t="shared" si="3"/>
        <v>0</v>
      </c>
      <c r="Q14" s="173">
        <f t="shared" si="3"/>
        <v>0</v>
      </c>
    </row>
    <row r="15" spans="1:22" ht="15" thickBot="1">
      <c r="B15" s="161" t="s">
        <v>257</v>
      </c>
      <c r="C15" s="162" t="s">
        <v>258</v>
      </c>
      <c r="D15" s="163">
        <f>D37</f>
        <v>77.135080000000002</v>
      </c>
      <c r="E15" s="164">
        <f t="shared" ref="E15:Q15" si="4">E37</f>
        <v>3.1019999999999999</v>
      </c>
      <c r="F15" s="165">
        <f t="shared" si="4"/>
        <v>0</v>
      </c>
      <c r="G15" s="166">
        <f t="shared" si="4"/>
        <v>3.1019999999999999</v>
      </c>
      <c r="H15" s="167">
        <f t="shared" si="4"/>
        <v>0</v>
      </c>
      <c r="I15" s="163">
        <f t="shared" si="4"/>
        <v>74.033079999999998</v>
      </c>
      <c r="J15" s="165">
        <f t="shared" si="4"/>
        <v>0</v>
      </c>
      <c r="K15" s="166">
        <f t="shared" si="4"/>
        <v>0</v>
      </c>
      <c r="L15" s="166">
        <f t="shared" si="4"/>
        <v>74.033079999999998</v>
      </c>
      <c r="M15" s="168">
        <f t="shared" si="4"/>
        <v>0</v>
      </c>
      <c r="N15" s="163">
        <f t="shared" si="1"/>
        <v>0</v>
      </c>
      <c r="O15" s="169">
        <f>O37</f>
        <v>0</v>
      </c>
      <c r="P15" s="167">
        <f t="shared" si="4"/>
        <v>0</v>
      </c>
      <c r="Q15" s="163">
        <f t="shared" si="4"/>
        <v>0</v>
      </c>
    </row>
    <row r="16" spans="1:22">
      <c r="B16" s="161" t="s">
        <v>259</v>
      </c>
      <c r="C16" s="162" t="s">
        <v>260</v>
      </c>
      <c r="D16" s="163">
        <f t="shared" ref="D16:M17" si="5">D45+D101+D198</f>
        <v>385.72343000000001</v>
      </c>
      <c r="E16" s="164">
        <f t="shared" si="5"/>
        <v>140.92539209334473</v>
      </c>
      <c r="F16" s="165">
        <f t="shared" si="5"/>
        <v>2.7993553458783325</v>
      </c>
      <c r="G16" s="166">
        <f t="shared" si="5"/>
        <v>14.8338738148702</v>
      </c>
      <c r="H16" s="167">
        <f t="shared" si="5"/>
        <v>123.29216293259618</v>
      </c>
      <c r="I16" s="163">
        <f t="shared" si="5"/>
        <v>192.5766474951136</v>
      </c>
      <c r="J16" s="165">
        <f t="shared" si="5"/>
        <v>96.155651260717775</v>
      </c>
      <c r="K16" s="166">
        <f t="shared" si="5"/>
        <v>58.786791188447033</v>
      </c>
      <c r="L16" s="166">
        <f t="shared" si="5"/>
        <v>37.634205045948796</v>
      </c>
      <c r="M16" s="168">
        <f t="shared" si="5"/>
        <v>10.875010109015918</v>
      </c>
      <c r="N16" s="163">
        <f t="shared" si="1"/>
        <v>38.93121843104322</v>
      </c>
      <c r="O16" s="169">
        <f t="shared" ref="O16:Q17" si="6">O45+O101+O198</f>
        <v>38.93121843104322</v>
      </c>
      <c r="P16" s="167">
        <f t="shared" si="6"/>
        <v>0</v>
      </c>
      <c r="Q16" s="163">
        <f t="shared" si="6"/>
        <v>2.4151618714825336</v>
      </c>
    </row>
    <row r="17" spans="1:17">
      <c r="A17" s="170"/>
      <c r="B17" s="180" t="s">
        <v>261</v>
      </c>
      <c r="C17" s="181" t="s">
        <v>262</v>
      </c>
      <c r="D17" s="182">
        <f t="shared" si="5"/>
        <v>198.59482000000003</v>
      </c>
      <c r="E17" s="183">
        <f t="shared" si="5"/>
        <v>74.474605539965452</v>
      </c>
      <c r="F17" s="184">
        <f t="shared" si="5"/>
        <v>0.76684612365496541</v>
      </c>
      <c r="G17" s="185">
        <f t="shared" si="5"/>
        <v>9.8384930926774565</v>
      </c>
      <c r="H17" s="186">
        <f t="shared" si="5"/>
        <v>63.869266323633042</v>
      </c>
      <c r="I17" s="182">
        <f t="shared" si="5"/>
        <v>111.35872694786487</v>
      </c>
      <c r="J17" s="184">
        <f t="shared" si="5"/>
        <v>63.862976138341907</v>
      </c>
      <c r="K17" s="185">
        <f t="shared" si="5"/>
        <v>32.124513946881898</v>
      </c>
      <c r="L17" s="185">
        <f t="shared" si="5"/>
        <v>15.371236862641066</v>
      </c>
      <c r="M17" s="187">
        <f t="shared" si="5"/>
        <v>5.6031958764514105</v>
      </c>
      <c r="N17" s="182">
        <f t="shared" si="1"/>
        <v>5.5639852944868551</v>
      </c>
      <c r="O17" s="188">
        <f t="shared" si="6"/>
        <v>5.5639852944868551</v>
      </c>
      <c r="P17" s="186">
        <f t="shared" si="6"/>
        <v>0</v>
      </c>
      <c r="Q17" s="182">
        <f t="shared" si="6"/>
        <v>1.5943063412313971</v>
      </c>
    </row>
    <row r="18" spans="1:17">
      <c r="A18" s="170"/>
      <c r="B18" s="189" t="s">
        <v>263</v>
      </c>
      <c r="C18" s="190" t="s">
        <v>264</v>
      </c>
      <c r="D18" s="191">
        <f t="shared" ref="D18:Q18" si="7">D49+D105+D202</f>
        <v>18.236990000000002</v>
      </c>
      <c r="E18" s="192">
        <f t="shared" si="7"/>
        <v>17.959540000000001</v>
      </c>
      <c r="F18" s="193">
        <f t="shared" si="7"/>
        <v>0</v>
      </c>
      <c r="G18" s="194">
        <f t="shared" si="7"/>
        <v>0</v>
      </c>
      <c r="H18" s="195">
        <f t="shared" si="7"/>
        <v>17.959540000000001</v>
      </c>
      <c r="I18" s="191">
        <f t="shared" si="7"/>
        <v>0.23644999999999999</v>
      </c>
      <c r="J18" s="193">
        <f t="shared" si="7"/>
        <v>0.23644999999999999</v>
      </c>
      <c r="K18" s="194">
        <f t="shared" si="7"/>
        <v>0</v>
      </c>
      <c r="L18" s="194">
        <f t="shared" si="7"/>
        <v>0</v>
      </c>
      <c r="M18" s="196">
        <f t="shared" si="7"/>
        <v>0</v>
      </c>
      <c r="N18" s="191">
        <f t="shared" si="1"/>
        <v>4.1000000000000002E-2</v>
      </c>
      <c r="O18" s="197">
        <f>O49+O105+O202</f>
        <v>4.1000000000000002E-2</v>
      </c>
      <c r="P18" s="195">
        <f t="shared" si="7"/>
        <v>0</v>
      </c>
      <c r="Q18" s="191">
        <f t="shared" si="7"/>
        <v>0</v>
      </c>
    </row>
    <row r="19" spans="1:17" ht="15" thickBot="1">
      <c r="A19" s="170"/>
      <c r="B19" s="198" t="s">
        <v>265</v>
      </c>
      <c r="C19" s="199" t="s">
        <v>266</v>
      </c>
      <c r="D19" s="200">
        <f t="shared" ref="D19:Q19" si="8">D47+D103+D200</f>
        <v>117.82500999999999</v>
      </c>
      <c r="E19" s="201">
        <f t="shared" si="8"/>
        <v>47.7668538205698</v>
      </c>
      <c r="F19" s="202">
        <f t="shared" si="8"/>
        <v>2.0143535002665116</v>
      </c>
      <c r="G19" s="203">
        <f t="shared" si="8"/>
        <v>4.7978070455367812</v>
      </c>
      <c r="H19" s="204">
        <f t="shared" si="8"/>
        <v>40.954693274766505</v>
      </c>
      <c r="I19" s="200">
        <f t="shared" si="8"/>
        <v>60.774393383512347</v>
      </c>
      <c r="J19" s="202">
        <f t="shared" si="8"/>
        <v>31.359046830591918</v>
      </c>
      <c r="K19" s="203">
        <f t="shared" si="8"/>
        <v>21.06393498145389</v>
      </c>
      <c r="L19" s="203">
        <f t="shared" si="8"/>
        <v>8.3514115714665422</v>
      </c>
      <c r="M19" s="205">
        <f t="shared" si="8"/>
        <v>4.4636560823920677</v>
      </c>
      <c r="N19" s="200">
        <f t="shared" si="1"/>
        <v>4.0034122697129426</v>
      </c>
      <c r="O19" s="206">
        <f>O47+O103+O200</f>
        <v>4.0034122697129426</v>
      </c>
      <c r="P19" s="204">
        <f t="shared" si="8"/>
        <v>0</v>
      </c>
      <c r="Q19" s="200">
        <f t="shared" si="8"/>
        <v>0.81669444381283973</v>
      </c>
    </row>
    <row r="20" spans="1:17">
      <c r="B20" s="161" t="s">
        <v>267</v>
      </c>
      <c r="C20" s="207" t="s">
        <v>268</v>
      </c>
      <c r="D20" s="163">
        <f t="shared" ref="D20:M21" si="9">D52+D108+D205</f>
        <v>2179.3579899999995</v>
      </c>
      <c r="E20" s="164">
        <f t="shared" si="9"/>
        <v>615.47600569387305</v>
      </c>
      <c r="F20" s="165">
        <f t="shared" si="9"/>
        <v>123.15625103388157</v>
      </c>
      <c r="G20" s="166">
        <f t="shared" si="9"/>
        <v>77.723715927022752</v>
      </c>
      <c r="H20" s="167">
        <f t="shared" si="9"/>
        <v>414.59603873296868</v>
      </c>
      <c r="I20" s="163">
        <f t="shared" si="9"/>
        <v>1346.5721961183433</v>
      </c>
      <c r="J20" s="165">
        <f t="shared" si="9"/>
        <v>602.74930530681547</v>
      </c>
      <c r="K20" s="166">
        <f t="shared" si="9"/>
        <v>537.69535253862159</v>
      </c>
      <c r="L20" s="166">
        <f t="shared" si="9"/>
        <v>206.12753827290629</v>
      </c>
      <c r="M20" s="168">
        <f t="shared" si="9"/>
        <v>93.341597442748196</v>
      </c>
      <c r="N20" s="163">
        <f t="shared" si="1"/>
        <v>103.36501708885467</v>
      </c>
      <c r="O20" s="169">
        <f t="shared" ref="O20:Q21" si="10">O52+O108+O205</f>
        <v>103.36501708885467</v>
      </c>
      <c r="P20" s="167">
        <f t="shared" si="10"/>
        <v>0</v>
      </c>
      <c r="Q20" s="163">
        <f t="shared" si="10"/>
        <v>20.603173656180534</v>
      </c>
    </row>
    <row r="21" spans="1:17" ht="15" thickBot="1">
      <c r="B21" s="180" t="s">
        <v>269</v>
      </c>
      <c r="C21" s="208" t="s">
        <v>270</v>
      </c>
      <c r="D21" s="182">
        <f t="shared" si="9"/>
        <v>2115.9812499999998</v>
      </c>
      <c r="E21" s="183">
        <f t="shared" si="9"/>
        <v>597.17830438460339</v>
      </c>
      <c r="F21" s="184">
        <f t="shared" si="9"/>
        <v>119.8850153757292</v>
      </c>
      <c r="G21" s="185">
        <f t="shared" si="9"/>
        <v>75.433833676572874</v>
      </c>
      <c r="H21" s="186">
        <f t="shared" si="9"/>
        <v>401.85945533230142</v>
      </c>
      <c r="I21" s="182">
        <f t="shared" si="9"/>
        <v>1306.9097751863014</v>
      </c>
      <c r="J21" s="184">
        <f t="shared" si="9"/>
        <v>586.46879715348246</v>
      </c>
      <c r="K21" s="185">
        <f t="shared" si="9"/>
        <v>520.27534815586125</v>
      </c>
      <c r="L21" s="185">
        <f t="shared" si="9"/>
        <v>200.16562987695801</v>
      </c>
      <c r="M21" s="187">
        <f t="shared" si="9"/>
        <v>91.13398479265804</v>
      </c>
      <c r="N21" s="182">
        <f t="shared" si="1"/>
        <v>100.56229110724101</v>
      </c>
      <c r="O21" s="188">
        <f t="shared" si="10"/>
        <v>100.56229110724101</v>
      </c>
      <c r="P21" s="186">
        <f t="shared" si="10"/>
        <v>0</v>
      </c>
      <c r="Q21" s="182">
        <f t="shared" si="10"/>
        <v>20.196894529195703</v>
      </c>
    </row>
    <row r="22" spans="1:17" ht="15" thickBot="1">
      <c r="A22" s="209"/>
      <c r="B22" s="210" t="s">
        <v>271</v>
      </c>
      <c r="C22" s="211" t="s">
        <v>272</v>
      </c>
      <c r="D22" s="212">
        <f>D32+D33+D47+D69+D71+D75+D77+D78+D79+D81+D87+D88+D103+D122+D124+D128+D131+D132+D134+D140+D141+D200+D219+D221+D225+D227+D228+D229+D231+D238+D239+D130</f>
        <v>355.14519999999999</v>
      </c>
      <c r="E22" s="213">
        <f t="shared" ref="E22:Q22" si="11">E32+E33+E47+E69+E71+E75+E77+E78+E79+E81+E87+E88+E103+E122+E124+E128+E131+E132+E134+E140+E141+E200+E219+E221+E225+E227+E228+E229+E231+E238+E239+E130</f>
        <v>152.23726881695441</v>
      </c>
      <c r="F22" s="214">
        <f t="shared" si="11"/>
        <v>13.421350348334377</v>
      </c>
      <c r="G22" s="215">
        <f t="shared" si="11"/>
        <v>12.603054512077854</v>
      </c>
      <c r="H22" s="216">
        <f t="shared" si="11"/>
        <v>126.21286395654218</v>
      </c>
      <c r="I22" s="212">
        <f t="shared" si="11"/>
        <v>175.48045924811757</v>
      </c>
      <c r="J22" s="214">
        <f t="shared" si="11"/>
        <v>86.985997448412007</v>
      </c>
      <c r="K22" s="215">
        <f t="shared" si="11"/>
        <v>66.160619906736571</v>
      </c>
      <c r="L22" s="215">
        <f t="shared" si="11"/>
        <v>22.333841892968987</v>
      </c>
      <c r="M22" s="217">
        <f t="shared" si="11"/>
        <v>16.087662946307056</v>
      </c>
      <c r="N22" s="212">
        <f t="shared" si="1"/>
        <v>9.2884854044927359</v>
      </c>
      <c r="O22" s="218">
        <f>O32+O33+O47+O69+O71+O75+O77+O78+O79+O81+O87+O88+O103+O122+O124+O128+O131+O132+O134+O140+O141+O200+O219+O221+O225+O227+O228+O229+O231+O238+O239+O130</f>
        <v>9.2884854044927359</v>
      </c>
      <c r="P22" s="216">
        <f t="shared" si="11"/>
        <v>0</v>
      </c>
      <c r="Q22" s="219">
        <f t="shared" si="11"/>
        <v>2.0513235841282298</v>
      </c>
    </row>
    <row r="23" spans="1:17" ht="15.5" thickTop="1" thickBot="1">
      <c r="A23" s="209"/>
      <c r="B23" s="220" t="s">
        <v>273</v>
      </c>
      <c r="C23" s="144" t="s">
        <v>274</v>
      </c>
      <c r="D23" s="221">
        <f>D29+D92+D190</f>
        <v>4772.2053903326469</v>
      </c>
      <c r="E23" s="222">
        <f>E29+E92+E190</f>
        <v>1489.119743276216</v>
      </c>
      <c r="F23" s="223">
        <f t="shared" ref="F23:M23" si="12">F29+F92+F190</f>
        <v>401.7809289462524</v>
      </c>
      <c r="G23" s="224">
        <f t="shared" si="12"/>
        <v>156.74319842723892</v>
      </c>
      <c r="H23" s="225">
        <f t="shared" si="12"/>
        <v>930.5956159027246</v>
      </c>
      <c r="I23" s="221">
        <f t="shared" si="12"/>
        <v>2892.3290922271258</v>
      </c>
      <c r="J23" s="223">
        <f t="shared" si="12"/>
        <v>1167.3776782426089</v>
      </c>
      <c r="K23" s="224">
        <f t="shared" si="12"/>
        <v>1284.2086301802931</v>
      </c>
      <c r="L23" s="224">
        <f t="shared" si="12"/>
        <v>440.74278380422328</v>
      </c>
      <c r="M23" s="226">
        <f t="shared" si="12"/>
        <v>186.5531360745382</v>
      </c>
      <c r="N23" s="221">
        <f t="shared" si="1"/>
        <v>167.95619103895348</v>
      </c>
      <c r="O23" s="227">
        <f>O29+O92+O190</f>
        <v>167.95619103895348</v>
      </c>
      <c r="P23" s="225">
        <f>P29+P92+P190</f>
        <v>0</v>
      </c>
      <c r="Q23" s="228">
        <f>Q29+Q92+Q190</f>
        <v>36.247227715813693</v>
      </c>
    </row>
    <row r="24" spans="1:17" ht="15" thickTop="1">
      <c r="B24" s="229" t="s">
        <v>275</v>
      </c>
      <c r="C24" s="230" t="s">
        <v>276</v>
      </c>
      <c r="D24" s="163">
        <f t="shared" ref="D24:D31" si="13">O24+E24+I24+M24+P24+Q24</f>
        <v>3831.6598003326467</v>
      </c>
      <c r="E24" s="164">
        <f>SUM(E25:E27)</f>
        <v>1203.3283832762158</v>
      </c>
      <c r="F24" s="165">
        <f t="shared" ref="F24:Q24" si="14">SUM(F25:F27)</f>
        <v>178.91110894625234</v>
      </c>
      <c r="G24" s="166">
        <f t="shared" si="14"/>
        <v>139.92184842723893</v>
      </c>
      <c r="H24" s="167">
        <f t="shared" si="14"/>
        <v>884.49542590272449</v>
      </c>
      <c r="I24" s="163">
        <f>SUM(I25:I27)</f>
        <v>2245.7248722271256</v>
      </c>
      <c r="J24" s="165">
        <f t="shared" si="14"/>
        <v>1068.784518242609</v>
      </c>
      <c r="K24" s="166">
        <f t="shared" si="14"/>
        <v>821.77250018029315</v>
      </c>
      <c r="L24" s="166">
        <f t="shared" si="14"/>
        <v>355.16785380422328</v>
      </c>
      <c r="M24" s="168">
        <f t="shared" si="14"/>
        <v>178.40312607453819</v>
      </c>
      <c r="N24" s="163">
        <f t="shared" si="1"/>
        <v>167.95619103895348</v>
      </c>
      <c r="O24" s="169">
        <f>SUM(O25:O27)</f>
        <v>167.95619103895348</v>
      </c>
      <c r="P24" s="167">
        <f t="shared" si="14"/>
        <v>0</v>
      </c>
      <c r="Q24" s="231">
        <f t="shared" si="14"/>
        <v>36.247227715813693</v>
      </c>
    </row>
    <row r="25" spans="1:17">
      <c r="B25" s="232" t="s">
        <v>277</v>
      </c>
      <c r="C25" s="233" t="s">
        <v>278</v>
      </c>
      <c r="D25" s="234">
        <f t="shared" si="13"/>
        <v>2563.6063021748009</v>
      </c>
      <c r="E25" s="235">
        <f t="shared" ref="E25:E30" si="15">SUM(F25:H25)</f>
        <v>832.12674799045317</v>
      </c>
      <c r="F25" s="236">
        <f>F29-F30-F31-F35-F38-F39-F59-F60-F91</f>
        <v>136.25802159120693</v>
      </c>
      <c r="G25" s="237">
        <f>G29-G30-G31-G35-G38-G39-G59-G60-G91</f>
        <v>96.75179322469657</v>
      </c>
      <c r="H25" s="238">
        <f>H29-H30-H31-H35-H38-H39-H59-H60-H91</f>
        <v>599.11693317454967</v>
      </c>
      <c r="I25" s="234">
        <f t="shared" ref="I25:I55" si="16">SUM(J25:L25)</f>
        <v>1475.8705194740389</v>
      </c>
      <c r="J25" s="236">
        <f t="shared" ref="J25:Q25" si="17">J29-J30-J31-J35-J38-J39-J59-J60-J91</f>
        <v>693.80835821542064</v>
      </c>
      <c r="K25" s="237">
        <f t="shared" si="17"/>
        <v>553.50718518314682</v>
      </c>
      <c r="L25" s="237">
        <f t="shared" si="17"/>
        <v>228.55497607547142</v>
      </c>
      <c r="M25" s="239">
        <f t="shared" si="17"/>
        <v>92.086031552345119</v>
      </c>
      <c r="N25" s="234">
        <f t="shared" si="1"/>
        <v>136.29973315796369</v>
      </c>
      <c r="O25" s="240">
        <f>O29-O30-O31-O35-O38-O39-O59-O60-O91</f>
        <v>136.29973315796369</v>
      </c>
      <c r="P25" s="238">
        <f t="shared" si="17"/>
        <v>0</v>
      </c>
      <c r="Q25" s="234">
        <f t="shared" si="17"/>
        <v>27.223269999999999</v>
      </c>
    </row>
    <row r="26" spans="1:17">
      <c r="B26" s="232" t="s">
        <v>279</v>
      </c>
      <c r="C26" s="241" t="s">
        <v>280</v>
      </c>
      <c r="D26" s="242">
        <f t="shared" si="13"/>
        <v>549.36615418290842</v>
      </c>
      <c r="E26" s="243">
        <f t="shared" si="15"/>
        <v>145.49869588823066</v>
      </c>
      <c r="F26" s="244">
        <f>F92-F94-F143</f>
        <v>9.095528386728386</v>
      </c>
      <c r="G26" s="245">
        <f>G92-G94-G143</f>
        <v>16.925537982744821</v>
      </c>
      <c r="H26" s="246">
        <f>H92-H94-H143</f>
        <v>119.47762951875745</v>
      </c>
      <c r="I26" s="242">
        <f t="shared" si="16"/>
        <v>348.63375180640264</v>
      </c>
      <c r="J26" s="244">
        <f t="shared" ref="J26:Q26" si="18">J92-J94-J143</f>
        <v>174.50901348389945</v>
      </c>
      <c r="K26" s="245">
        <f t="shared" si="18"/>
        <v>114.12911129374197</v>
      </c>
      <c r="L26" s="245">
        <f t="shared" si="18"/>
        <v>59.995627028761206</v>
      </c>
      <c r="M26" s="247">
        <f t="shared" si="18"/>
        <v>52.854815636107027</v>
      </c>
      <c r="N26" s="242">
        <f t="shared" si="1"/>
        <v>0.15366401827439127</v>
      </c>
      <c r="O26" s="248">
        <f>O92-O94-O143</f>
        <v>0.15366401827439127</v>
      </c>
      <c r="P26" s="246">
        <f t="shared" si="18"/>
        <v>0</v>
      </c>
      <c r="Q26" s="242">
        <f t="shared" si="18"/>
        <v>2.2252268338937204</v>
      </c>
    </row>
    <row r="27" spans="1:17" ht="15" thickBot="1">
      <c r="B27" s="232" t="s">
        <v>281</v>
      </c>
      <c r="C27" s="249" t="s">
        <v>282</v>
      </c>
      <c r="D27" s="250">
        <f t="shared" si="13"/>
        <v>718.68734397493733</v>
      </c>
      <c r="E27" s="251">
        <f t="shared" si="15"/>
        <v>225.70293939753202</v>
      </c>
      <c r="F27" s="252">
        <f>F190</f>
        <v>33.557558968317053</v>
      </c>
      <c r="G27" s="253">
        <f>G190</f>
        <v>26.24451721979753</v>
      </c>
      <c r="H27" s="254">
        <f>H190</f>
        <v>165.90086320941742</v>
      </c>
      <c r="I27" s="250">
        <f t="shared" si="16"/>
        <v>421.22060094668393</v>
      </c>
      <c r="J27" s="252">
        <f t="shared" ref="J27:Q27" si="19">J190</f>
        <v>200.46714654328883</v>
      </c>
      <c r="K27" s="253">
        <f t="shared" si="19"/>
        <v>154.13620370340439</v>
      </c>
      <c r="L27" s="253">
        <f t="shared" si="19"/>
        <v>66.617250699990663</v>
      </c>
      <c r="M27" s="255">
        <f t="shared" si="19"/>
        <v>33.462278886086025</v>
      </c>
      <c r="N27" s="250">
        <f t="shared" si="1"/>
        <v>31.502793862715411</v>
      </c>
      <c r="O27" s="256">
        <f>O190</f>
        <v>31.502793862715411</v>
      </c>
      <c r="P27" s="254">
        <f t="shared" si="19"/>
        <v>0</v>
      </c>
      <c r="Q27" s="250">
        <f t="shared" si="19"/>
        <v>6.7987308819199717</v>
      </c>
    </row>
    <row r="28" spans="1:17" ht="15.5" thickTop="1" thickBot="1">
      <c r="B28" s="229" t="s">
        <v>283</v>
      </c>
      <c r="C28" s="230" t="s">
        <v>284</v>
      </c>
      <c r="D28" s="221">
        <f t="shared" si="13"/>
        <v>940.54559000000006</v>
      </c>
      <c r="E28" s="222">
        <f t="shared" si="15"/>
        <v>285.79136</v>
      </c>
      <c r="F28" s="223">
        <f>F30+F31+F35+F38+F39+F59+F60+F91+F94+F143</f>
        <v>222.86982</v>
      </c>
      <c r="G28" s="224">
        <f>G30+G31+G35+G38+G39+G59+G60+G91+G94+G143</f>
        <v>16.821349999999999</v>
      </c>
      <c r="H28" s="225">
        <f>H30+H31+H35+H38+H39+H59+H60+H91+H94+H143</f>
        <v>46.100190000000005</v>
      </c>
      <c r="I28" s="221">
        <f t="shared" si="16"/>
        <v>646.60422000000005</v>
      </c>
      <c r="J28" s="223">
        <f t="shared" ref="J28:Q28" si="20">J30+J31+J35+J38+J39+J59+J60+J91+J94+J143</f>
        <v>98.593159999999997</v>
      </c>
      <c r="K28" s="224">
        <f t="shared" si="20"/>
        <v>462.43613000000005</v>
      </c>
      <c r="L28" s="224">
        <f t="shared" si="20"/>
        <v>85.574929999999995</v>
      </c>
      <c r="M28" s="226">
        <f t="shared" si="20"/>
        <v>8.15001</v>
      </c>
      <c r="N28" s="221">
        <f t="shared" si="1"/>
        <v>0</v>
      </c>
      <c r="O28" s="227">
        <f>O30+O31+O35+O38+O39+O59+O60+O91+O94+O143</f>
        <v>0</v>
      </c>
      <c r="P28" s="225">
        <f t="shared" si="20"/>
        <v>0</v>
      </c>
      <c r="Q28" s="221">
        <f t="shared" si="20"/>
        <v>0</v>
      </c>
    </row>
    <row r="29" spans="1:17" ht="15.5" thickTop="1" thickBot="1">
      <c r="B29" s="257" t="s">
        <v>103</v>
      </c>
      <c r="C29" s="144" t="s">
        <v>285</v>
      </c>
      <c r="D29" s="257">
        <f t="shared" si="13"/>
        <v>3504.1518921748011</v>
      </c>
      <c r="E29" s="258">
        <f t="shared" si="15"/>
        <v>1117.9181079904533</v>
      </c>
      <c r="F29" s="259">
        <f>F30+F31+F34+F37+F40+F43+F45+F51+F52+F58+F65+F68+F83+F84</f>
        <v>359.12784159120696</v>
      </c>
      <c r="G29" s="260">
        <f>G30+G31+G34+G37+G40+G43+G45+G51+G52+G58+G65+G68+G83+G84</f>
        <v>113.57314322469658</v>
      </c>
      <c r="H29" s="261">
        <f>H30+H31+H34+H37+H40+H43+H45+H51+H52+H58+H65+H68+H83+H84</f>
        <v>645.21712317454967</v>
      </c>
      <c r="I29" s="257">
        <f t="shared" si="16"/>
        <v>2122.4747394740389</v>
      </c>
      <c r="J29" s="259">
        <f t="shared" ref="J29:Q29" si="21">J30+J31+J34+J37+J40+J43+J45+J51+J52+J58+J65+J68+J83+J84</f>
        <v>792.40151821542065</v>
      </c>
      <c r="K29" s="260">
        <f t="shared" si="21"/>
        <v>1015.9433151831469</v>
      </c>
      <c r="L29" s="260">
        <f t="shared" si="21"/>
        <v>314.12990607547141</v>
      </c>
      <c r="M29" s="262">
        <f t="shared" si="21"/>
        <v>100.23604155234513</v>
      </c>
      <c r="N29" s="257">
        <f t="shared" si="1"/>
        <v>136.29973315796369</v>
      </c>
      <c r="O29" s="263">
        <f>O30+O31+O34+O37+O40+O43+O45+O51+O52+O58+O65+O68+O83+O84</f>
        <v>136.29973315796369</v>
      </c>
      <c r="P29" s="261">
        <f t="shared" si="21"/>
        <v>0</v>
      </c>
      <c r="Q29" s="257">
        <f t="shared" si="21"/>
        <v>27.223269999999999</v>
      </c>
    </row>
    <row r="30" spans="1:17" ht="15.5" thickTop="1" thickBot="1">
      <c r="B30" s="152" t="s">
        <v>105</v>
      </c>
      <c r="C30" s="153" t="s">
        <v>253</v>
      </c>
      <c r="D30" s="154">
        <f t="shared" si="13"/>
        <v>0</v>
      </c>
      <c r="E30" s="155">
        <f t="shared" si="15"/>
        <v>0</v>
      </c>
      <c r="F30" s="264">
        <v>0</v>
      </c>
      <c r="G30" s="265">
        <v>0</v>
      </c>
      <c r="H30" s="266">
        <v>0</v>
      </c>
      <c r="I30" s="163">
        <f>SUM(J30:L30)</f>
        <v>0</v>
      </c>
      <c r="J30" s="156">
        <v>0</v>
      </c>
      <c r="K30" s="157">
        <v>0</v>
      </c>
      <c r="L30" s="157">
        <v>0</v>
      </c>
      <c r="M30" s="159">
        <v>0</v>
      </c>
      <c r="N30" s="154">
        <f t="shared" si="1"/>
        <v>0</v>
      </c>
      <c r="O30" s="160">
        <v>0</v>
      </c>
      <c r="P30" s="266">
        <v>0</v>
      </c>
      <c r="Q30" s="267">
        <v>0</v>
      </c>
    </row>
    <row r="31" spans="1:17">
      <c r="B31" s="268" t="s">
        <v>114</v>
      </c>
      <c r="C31" s="269" t="s">
        <v>286</v>
      </c>
      <c r="D31" s="163">
        <f t="shared" si="13"/>
        <v>0</v>
      </c>
      <c r="E31" s="164">
        <f>SUM(E32:E33)</f>
        <v>0</v>
      </c>
      <c r="F31" s="165">
        <f>SUM(F32:F33)</f>
        <v>0</v>
      </c>
      <c r="G31" s="166">
        <f>SUM(G32:G33)</f>
        <v>0</v>
      </c>
      <c r="H31" s="167">
        <f>SUM(H32:H33)</f>
        <v>0</v>
      </c>
      <c r="I31" s="163">
        <f t="shared" si="16"/>
        <v>0</v>
      </c>
      <c r="J31" s="165">
        <f>SUM(J32:J33)</f>
        <v>0</v>
      </c>
      <c r="K31" s="166">
        <f>SUM(K32:K33)</f>
        <v>0</v>
      </c>
      <c r="L31" s="166">
        <f>SUM(L32:L33)</f>
        <v>0</v>
      </c>
      <c r="M31" s="168">
        <f>SUM(M32:M33)</f>
        <v>0</v>
      </c>
      <c r="N31" s="163">
        <f t="shared" si="1"/>
        <v>0</v>
      </c>
      <c r="O31" s="169">
        <f>SUM(O32:O33)</f>
        <v>0</v>
      </c>
      <c r="P31" s="167">
        <f>+SUM(P32:P33)</f>
        <v>0</v>
      </c>
      <c r="Q31" s="163">
        <f>+SUM(Q32:Q33)</f>
        <v>0</v>
      </c>
    </row>
    <row r="32" spans="1:17">
      <c r="B32" s="180" t="s">
        <v>116</v>
      </c>
      <c r="C32" s="181" t="s">
        <v>254</v>
      </c>
      <c r="D32" s="234">
        <f>I32+M32+P32+Q32</f>
        <v>0</v>
      </c>
      <c r="E32" s="235">
        <f>+SUM(F32:H32)</f>
        <v>0</v>
      </c>
      <c r="F32" s="236">
        <v>0</v>
      </c>
      <c r="G32" s="237">
        <v>0</v>
      </c>
      <c r="H32" s="238">
        <v>0</v>
      </c>
      <c r="I32" s="234">
        <f t="shared" si="16"/>
        <v>0</v>
      </c>
      <c r="J32" s="270">
        <v>0</v>
      </c>
      <c r="K32" s="88">
        <v>0</v>
      </c>
      <c r="L32" s="237">
        <v>0</v>
      </c>
      <c r="M32" s="271">
        <v>0</v>
      </c>
      <c r="N32" s="234">
        <f t="shared" si="1"/>
        <v>0</v>
      </c>
      <c r="O32" s="240">
        <v>0</v>
      </c>
      <c r="P32" s="272">
        <v>0</v>
      </c>
      <c r="Q32" s="273">
        <v>0</v>
      </c>
    </row>
    <row r="33" spans="2:17" ht="15" thickBot="1">
      <c r="B33" s="180" t="s">
        <v>118</v>
      </c>
      <c r="C33" s="181" t="s">
        <v>287</v>
      </c>
      <c r="D33" s="234">
        <f>I33+M33+P33+Q33</f>
        <v>0</v>
      </c>
      <c r="E33" s="235">
        <f>+SUM(F33:H33)</f>
        <v>0</v>
      </c>
      <c r="F33" s="236">
        <v>0</v>
      </c>
      <c r="G33" s="237">
        <v>0</v>
      </c>
      <c r="H33" s="238">
        <v>0</v>
      </c>
      <c r="I33" s="234">
        <f t="shared" si="16"/>
        <v>0</v>
      </c>
      <c r="J33" s="236">
        <v>0</v>
      </c>
      <c r="K33" s="237">
        <v>0</v>
      </c>
      <c r="L33" s="88">
        <v>0</v>
      </c>
      <c r="M33" s="239">
        <v>0</v>
      </c>
      <c r="N33" s="234">
        <f t="shared" si="1"/>
        <v>0</v>
      </c>
      <c r="O33" s="240">
        <v>0</v>
      </c>
      <c r="P33" s="238">
        <v>0</v>
      </c>
      <c r="Q33" s="234">
        <v>0</v>
      </c>
    </row>
    <row r="34" spans="2:17">
      <c r="B34" s="268" t="s">
        <v>288</v>
      </c>
      <c r="C34" s="269" t="s">
        <v>289</v>
      </c>
      <c r="D34" s="163">
        <f t="shared" ref="D34:D91" si="22">O34+E34+I34+M34+P34+Q34</f>
        <v>594.36050999999998</v>
      </c>
      <c r="E34" s="164">
        <f>E35+E36</f>
        <v>140.70415000000003</v>
      </c>
      <c r="F34" s="165">
        <f>F35+F36</f>
        <v>77.525860000000009</v>
      </c>
      <c r="G34" s="166">
        <f>G35+G36</f>
        <v>16.337679999999999</v>
      </c>
      <c r="H34" s="167">
        <f>H35+H36</f>
        <v>46.840610000000005</v>
      </c>
      <c r="I34" s="163">
        <f t="shared" si="16"/>
        <v>452.31935000000004</v>
      </c>
      <c r="J34" s="165">
        <f t="shared" ref="J34:Q34" si="23">SUM(J35:J36)</f>
        <v>101.18861</v>
      </c>
      <c r="K34" s="166">
        <f t="shared" si="23"/>
        <v>336.34209000000004</v>
      </c>
      <c r="L34" s="166">
        <f t="shared" si="23"/>
        <v>14.788650000000001</v>
      </c>
      <c r="M34" s="168">
        <f t="shared" si="23"/>
        <v>1.33701</v>
      </c>
      <c r="N34" s="163">
        <f t="shared" si="1"/>
        <v>0</v>
      </c>
      <c r="O34" s="169">
        <f>O35+O36</f>
        <v>0</v>
      </c>
      <c r="P34" s="167">
        <f t="shared" si="23"/>
        <v>0</v>
      </c>
      <c r="Q34" s="163">
        <f t="shared" si="23"/>
        <v>0</v>
      </c>
    </row>
    <row r="35" spans="2:17" ht="26">
      <c r="B35" s="180" t="s">
        <v>290</v>
      </c>
      <c r="C35" s="181" t="s">
        <v>256</v>
      </c>
      <c r="D35" s="234">
        <f t="shared" si="22"/>
        <v>578.47751000000005</v>
      </c>
      <c r="E35" s="235">
        <f t="shared" ref="E35:E99" si="24">SUM(F35:H35)</f>
        <v>135.31336000000002</v>
      </c>
      <c r="F35" s="270">
        <v>75.493820000000014</v>
      </c>
      <c r="G35" s="88">
        <v>13.71935</v>
      </c>
      <c r="H35" s="272">
        <v>46.100190000000005</v>
      </c>
      <c r="I35" s="234">
        <f t="shared" si="16"/>
        <v>441.82714000000004</v>
      </c>
      <c r="J35" s="270">
        <v>98.593159999999997</v>
      </c>
      <c r="K35" s="88">
        <v>331.69213000000002</v>
      </c>
      <c r="L35" s="88">
        <v>11.54185</v>
      </c>
      <c r="M35" s="274">
        <v>1.33701</v>
      </c>
      <c r="N35" s="234">
        <f t="shared" si="1"/>
        <v>0</v>
      </c>
      <c r="O35" s="240">
        <v>0</v>
      </c>
      <c r="P35" s="275">
        <v>0</v>
      </c>
      <c r="Q35" s="273">
        <v>0</v>
      </c>
    </row>
    <row r="36" spans="2:17" ht="15" thickBot="1">
      <c r="B36" s="180" t="s">
        <v>291</v>
      </c>
      <c r="C36" s="190" t="s">
        <v>292</v>
      </c>
      <c r="D36" s="234">
        <f t="shared" si="22"/>
        <v>15.882999999999999</v>
      </c>
      <c r="E36" s="235">
        <f t="shared" si="24"/>
        <v>5.39079</v>
      </c>
      <c r="F36" s="270">
        <v>2.0320399999999998</v>
      </c>
      <c r="G36" s="275">
        <v>2.6183299999999998</v>
      </c>
      <c r="H36" s="276">
        <v>0.74041999999999997</v>
      </c>
      <c r="I36" s="234">
        <f t="shared" si="16"/>
        <v>10.49221</v>
      </c>
      <c r="J36" s="277">
        <v>2.59545</v>
      </c>
      <c r="K36" s="275">
        <v>4.6499600000000001</v>
      </c>
      <c r="L36" s="275">
        <v>3.2468000000000004</v>
      </c>
      <c r="M36" s="271">
        <v>0</v>
      </c>
      <c r="N36" s="234">
        <f t="shared" si="1"/>
        <v>0</v>
      </c>
      <c r="O36" s="278">
        <v>0</v>
      </c>
      <c r="P36" s="272">
        <v>0</v>
      </c>
      <c r="Q36" s="273">
        <v>0</v>
      </c>
    </row>
    <row r="37" spans="2:17">
      <c r="B37" s="268" t="s">
        <v>293</v>
      </c>
      <c r="C37" s="269" t="s">
        <v>258</v>
      </c>
      <c r="D37" s="163">
        <f t="shared" si="22"/>
        <v>77.135080000000002</v>
      </c>
      <c r="E37" s="164">
        <f t="shared" si="24"/>
        <v>3.1019999999999999</v>
      </c>
      <c r="F37" s="165">
        <f>F38</f>
        <v>0</v>
      </c>
      <c r="G37" s="166">
        <f>G38</f>
        <v>3.1019999999999999</v>
      </c>
      <c r="H37" s="167">
        <f>H38</f>
        <v>0</v>
      </c>
      <c r="I37" s="163">
        <f t="shared" si="16"/>
        <v>74.033079999999998</v>
      </c>
      <c r="J37" s="165">
        <f t="shared" ref="J37:Q37" si="25">SUM(J38:J39)</f>
        <v>0</v>
      </c>
      <c r="K37" s="166">
        <f t="shared" si="25"/>
        <v>0</v>
      </c>
      <c r="L37" s="166">
        <f t="shared" si="25"/>
        <v>74.033079999999998</v>
      </c>
      <c r="M37" s="168">
        <f t="shared" si="25"/>
        <v>0</v>
      </c>
      <c r="N37" s="163">
        <f t="shared" si="1"/>
        <v>0</v>
      </c>
      <c r="O37" s="169">
        <f>O38+O39</f>
        <v>0</v>
      </c>
      <c r="P37" s="167">
        <f t="shared" si="25"/>
        <v>0</v>
      </c>
      <c r="Q37" s="163">
        <f t="shared" si="25"/>
        <v>0</v>
      </c>
    </row>
    <row r="38" spans="2:17">
      <c r="B38" s="180" t="s">
        <v>294</v>
      </c>
      <c r="C38" s="181" t="s">
        <v>295</v>
      </c>
      <c r="D38" s="234">
        <f t="shared" si="22"/>
        <v>55.855999999999995</v>
      </c>
      <c r="E38" s="235">
        <f t="shared" si="24"/>
        <v>3.1019999999999999</v>
      </c>
      <c r="F38" s="236">
        <v>0</v>
      </c>
      <c r="G38" s="275">
        <v>3.1019999999999999</v>
      </c>
      <c r="H38" s="238">
        <v>0</v>
      </c>
      <c r="I38" s="234">
        <f t="shared" si="16"/>
        <v>52.753999999999998</v>
      </c>
      <c r="J38" s="236">
        <v>0</v>
      </c>
      <c r="K38" s="275">
        <v>0</v>
      </c>
      <c r="L38" s="275">
        <v>52.753999999999998</v>
      </c>
      <c r="M38" s="279">
        <v>0</v>
      </c>
      <c r="N38" s="234">
        <f t="shared" si="1"/>
        <v>0</v>
      </c>
      <c r="O38" s="240">
        <v>0</v>
      </c>
      <c r="P38" s="272">
        <v>0</v>
      </c>
      <c r="Q38" s="273">
        <v>0</v>
      </c>
    </row>
    <row r="39" spans="2:17" ht="15" thickBot="1">
      <c r="B39" s="180" t="s">
        <v>296</v>
      </c>
      <c r="C39" s="181" t="s">
        <v>297</v>
      </c>
      <c r="D39" s="234">
        <f t="shared" si="22"/>
        <v>21.27908</v>
      </c>
      <c r="E39" s="235">
        <f t="shared" si="24"/>
        <v>0</v>
      </c>
      <c r="F39" s="236">
        <v>0</v>
      </c>
      <c r="G39" s="237">
        <v>0</v>
      </c>
      <c r="H39" s="238">
        <v>0</v>
      </c>
      <c r="I39" s="234">
        <f t="shared" si="16"/>
        <v>21.27908</v>
      </c>
      <c r="J39" s="236">
        <v>0</v>
      </c>
      <c r="K39" s="237">
        <v>0</v>
      </c>
      <c r="L39" s="275">
        <v>21.27908</v>
      </c>
      <c r="M39" s="279">
        <v>0</v>
      </c>
      <c r="N39" s="234">
        <f t="shared" si="1"/>
        <v>0</v>
      </c>
      <c r="O39" s="240">
        <v>0</v>
      </c>
      <c r="P39" s="272">
        <v>0</v>
      </c>
      <c r="Q39" s="273">
        <v>0</v>
      </c>
    </row>
    <row r="40" spans="2:17">
      <c r="B40" s="268" t="s">
        <v>298</v>
      </c>
      <c r="C40" s="269" t="s">
        <v>299</v>
      </c>
      <c r="D40" s="163">
        <f t="shared" si="22"/>
        <v>136.34764000000001</v>
      </c>
      <c r="E40" s="164">
        <f t="shared" si="24"/>
        <v>33.33278</v>
      </c>
      <c r="F40" s="165">
        <f>SUM(F41:F42)</f>
        <v>5.4299999999999999E-3</v>
      </c>
      <c r="G40" s="166">
        <f>SUM(G41:G42)</f>
        <v>3.8109999999999998E-2</v>
      </c>
      <c r="H40" s="167">
        <f>SUM(H41:H42)</f>
        <v>33.289239999999999</v>
      </c>
      <c r="I40" s="163">
        <f t="shared" si="16"/>
        <v>71.113630000000001</v>
      </c>
      <c r="J40" s="165">
        <f t="shared" ref="J40:Q40" si="26">SUM(J41:J42)</f>
        <v>54.166679999999999</v>
      </c>
      <c r="K40" s="166">
        <f t="shared" si="26"/>
        <v>5.8011800000000004</v>
      </c>
      <c r="L40" s="166">
        <f t="shared" si="26"/>
        <v>11.145770000000001</v>
      </c>
      <c r="M40" s="168">
        <f t="shared" si="26"/>
        <v>16.746829999999999</v>
      </c>
      <c r="N40" s="163">
        <f t="shared" si="1"/>
        <v>5.2815699999999994</v>
      </c>
      <c r="O40" s="169">
        <f>SUM(O41:O42)</f>
        <v>5.2815699999999994</v>
      </c>
      <c r="P40" s="167">
        <f t="shared" si="26"/>
        <v>0</v>
      </c>
      <c r="Q40" s="163">
        <f t="shared" si="26"/>
        <v>9.8728300000000004</v>
      </c>
    </row>
    <row r="41" spans="2:17" ht="26">
      <c r="B41" s="180" t="s">
        <v>300</v>
      </c>
      <c r="C41" s="181" t="s">
        <v>301</v>
      </c>
      <c r="D41" s="234">
        <f t="shared" si="22"/>
        <v>118.34130999999999</v>
      </c>
      <c r="E41" s="235">
        <f t="shared" si="24"/>
        <v>29.001660000000001</v>
      </c>
      <c r="F41" s="270">
        <v>5.4299999999999999E-3</v>
      </c>
      <c r="G41" s="88">
        <v>0</v>
      </c>
      <c r="H41" s="272">
        <v>28.996230000000001</v>
      </c>
      <c r="I41" s="234">
        <f t="shared" si="16"/>
        <v>63.764339999999997</v>
      </c>
      <c r="J41" s="270">
        <v>49.426349999999999</v>
      </c>
      <c r="K41" s="88">
        <v>3.1922199999999998</v>
      </c>
      <c r="L41" s="88">
        <v>11.145770000000001</v>
      </c>
      <c r="M41" s="271">
        <v>16.746829999999999</v>
      </c>
      <c r="N41" s="234">
        <f t="shared" si="1"/>
        <v>0.16463</v>
      </c>
      <c r="O41" s="278">
        <v>0.16463</v>
      </c>
      <c r="P41" s="272">
        <v>0</v>
      </c>
      <c r="Q41" s="273">
        <v>8.6638500000000001</v>
      </c>
    </row>
    <row r="42" spans="2:17" ht="15" thickBot="1">
      <c r="B42" s="180" t="s">
        <v>302</v>
      </c>
      <c r="C42" s="181" t="s">
        <v>303</v>
      </c>
      <c r="D42" s="234">
        <f t="shared" si="22"/>
        <v>18.006330000000002</v>
      </c>
      <c r="E42" s="235">
        <f t="shared" si="24"/>
        <v>4.3311200000000003</v>
      </c>
      <c r="F42" s="270">
        <v>0</v>
      </c>
      <c r="G42" s="88">
        <v>3.8109999999999998E-2</v>
      </c>
      <c r="H42" s="272">
        <v>4.2930100000000007</v>
      </c>
      <c r="I42" s="234">
        <f t="shared" si="16"/>
        <v>7.3492899999999999</v>
      </c>
      <c r="J42" s="270">
        <v>4.7403300000000002</v>
      </c>
      <c r="K42" s="88">
        <v>2.6089600000000002</v>
      </c>
      <c r="L42" s="88">
        <v>0</v>
      </c>
      <c r="M42" s="271">
        <v>0</v>
      </c>
      <c r="N42" s="234">
        <f t="shared" si="1"/>
        <v>5.1169399999999996</v>
      </c>
      <c r="O42" s="278">
        <v>5.1169399999999996</v>
      </c>
      <c r="P42" s="272">
        <v>0</v>
      </c>
      <c r="Q42" s="273">
        <v>1.2089799999999997</v>
      </c>
    </row>
    <row r="43" spans="2:17">
      <c r="B43" s="268" t="s">
        <v>304</v>
      </c>
      <c r="C43" s="269" t="s">
        <v>305</v>
      </c>
      <c r="D43" s="163">
        <f t="shared" si="22"/>
        <v>9.1125699999999998</v>
      </c>
      <c r="E43" s="164">
        <f t="shared" si="24"/>
        <v>0</v>
      </c>
      <c r="F43" s="165">
        <f>F44</f>
        <v>0</v>
      </c>
      <c r="G43" s="166">
        <f t="shared" ref="G43:Q43" si="27">G44</f>
        <v>0</v>
      </c>
      <c r="H43" s="167">
        <f t="shared" si="27"/>
        <v>0</v>
      </c>
      <c r="I43" s="163">
        <f t="shared" si="16"/>
        <v>9.1125699999999998</v>
      </c>
      <c r="J43" s="165">
        <f t="shared" si="27"/>
        <v>0</v>
      </c>
      <c r="K43" s="166">
        <f t="shared" si="27"/>
        <v>9.1125699999999998</v>
      </c>
      <c r="L43" s="166">
        <f t="shared" si="27"/>
        <v>0</v>
      </c>
      <c r="M43" s="168">
        <f t="shared" si="27"/>
        <v>0</v>
      </c>
      <c r="N43" s="163">
        <f t="shared" si="1"/>
        <v>0</v>
      </c>
      <c r="O43" s="169">
        <f>O44</f>
        <v>0</v>
      </c>
      <c r="P43" s="167">
        <f t="shared" si="27"/>
        <v>0</v>
      </c>
      <c r="Q43" s="163">
        <f t="shared" si="27"/>
        <v>0</v>
      </c>
    </row>
    <row r="44" spans="2:17" ht="15" thickBot="1">
      <c r="B44" s="180" t="s">
        <v>306</v>
      </c>
      <c r="C44" s="181" t="s">
        <v>307</v>
      </c>
      <c r="D44" s="234">
        <f t="shared" si="22"/>
        <v>9.1125699999999998</v>
      </c>
      <c r="E44" s="235">
        <f t="shared" si="24"/>
        <v>0</v>
      </c>
      <c r="F44" s="270">
        <v>0</v>
      </c>
      <c r="G44" s="88">
        <v>0</v>
      </c>
      <c r="H44" s="272">
        <v>0</v>
      </c>
      <c r="I44" s="234">
        <f t="shared" si="16"/>
        <v>9.1125699999999998</v>
      </c>
      <c r="J44" s="270">
        <v>0</v>
      </c>
      <c r="K44" s="88">
        <v>9.1125699999999998</v>
      </c>
      <c r="L44" s="88">
        <v>0</v>
      </c>
      <c r="M44" s="271">
        <v>0</v>
      </c>
      <c r="N44" s="234">
        <f t="shared" si="1"/>
        <v>0</v>
      </c>
      <c r="O44" s="278">
        <v>0</v>
      </c>
      <c r="P44" s="272">
        <v>0</v>
      </c>
      <c r="Q44" s="273">
        <v>0</v>
      </c>
    </row>
    <row r="45" spans="2:17">
      <c r="B45" s="268" t="s">
        <v>308</v>
      </c>
      <c r="C45" s="269" t="s">
        <v>309</v>
      </c>
      <c r="D45" s="163">
        <f t="shared" si="22"/>
        <v>339.98966000000001</v>
      </c>
      <c r="E45" s="164">
        <f>SUM(F45:H45)</f>
        <v>128.37524999999999</v>
      </c>
      <c r="F45" s="165">
        <f>SUM(F46:F50)</f>
        <v>1.7741100000000001</v>
      </c>
      <c r="G45" s="166">
        <f>SUM(G46:G50)</f>
        <v>13.374079999999999</v>
      </c>
      <c r="H45" s="167">
        <f>SUM(H46:H50)</f>
        <v>113.22705999999999</v>
      </c>
      <c r="I45" s="163">
        <f t="shared" si="16"/>
        <v>163.98502000000002</v>
      </c>
      <c r="J45" s="165">
        <f t="shared" ref="J45:Q45" si="28">SUM(J46:J50)</f>
        <v>81.972490000000008</v>
      </c>
      <c r="K45" s="166">
        <f t="shared" si="28"/>
        <v>49.225949999999997</v>
      </c>
      <c r="L45" s="166">
        <f t="shared" si="28"/>
        <v>32.786580000000001</v>
      </c>
      <c r="M45" s="168">
        <f t="shared" si="28"/>
        <v>6.9165700000000001</v>
      </c>
      <c r="N45" s="163">
        <f t="shared" si="1"/>
        <v>38.531019999999998</v>
      </c>
      <c r="O45" s="169">
        <f>SUM(O46:O50)</f>
        <v>38.531019999999998</v>
      </c>
      <c r="P45" s="167">
        <f t="shared" si="28"/>
        <v>0</v>
      </c>
      <c r="Q45" s="163">
        <f t="shared" si="28"/>
        <v>2.1818</v>
      </c>
    </row>
    <row r="46" spans="2:17">
      <c r="B46" s="180" t="s">
        <v>310</v>
      </c>
      <c r="C46" s="181" t="s">
        <v>262</v>
      </c>
      <c r="D46" s="234">
        <f t="shared" si="22"/>
        <v>165.46432000000001</v>
      </c>
      <c r="E46" s="235">
        <f t="shared" si="24"/>
        <v>65.374159999999989</v>
      </c>
      <c r="F46" s="270">
        <v>1.8710000000000001E-2</v>
      </c>
      <c r="G46" s="88">
        <v>8.7799599999999991</v>
      </c>
      <c r="H46" s="272">
        <v>56.575489999999995</v>
      </c>
      <c r="I46" s="234">
        <f t="shared" si="16"/>
        <v>90.655090000000001</v>
      </c>
      <c r="J46" s="270">
        <v>53.595370000000003</v>
      </c>
      <c r="K46" s="88">
        <v>25.197230000000001</v>
      </c>
      <c r="L46" s="88">
        <v>11.862489999999999</v>
      </c>
      <c r="M46" s="271">
        <v>2.7445599999999999</v>
      </c>
      <c r="N46" s="234">
        <f t="shared" si="1"/>
        <v>5.2662299999999993</v>
      </c>
      <c r="O46" s="278">
        <v>5.2662299999999993</v>
      </c>
      <c r="P46" s="272">
        <v>0</v>
      </c>
      <c r="Q46" s="273">
        <v>1.4242800000000002</v>
      </c>
    </row>
    <row r="47" spans="2:17">
      <c r="B47" s="180" t="s">
        <v>311</v>
      </c>
      <c r="C47" s="181" t="s">
        <v>266</v>
      </c>
      <c r="D47" s="234">
        <f t="shared" si="22"/>
        <v>106.0581</v>
      </c>
      <c r="E47" s="235">
        <f t="shared" si="24"/>
        <v>44.545700000000004</v>
      </c>
      <c r="F47" s="270">
        <v>1.7554000000000001</v>
      </c>
      <c r="G47" s="88">
        <v>4.4231300000000005</v>
      </c>
      <c r="H47" s="272">
        <v>38.367170000000002</v>
      </c>
      <c r="I47" s="234">
        <f t="shared" si="16"/>
        <v>53.410229999999991</v>
      </c>
      <c r="J47" s="270">
        <v>27.703629999999997</v>
      </c>
      <c r="K47" s="88">
        <v>18.605090000000001</v>
      </c>
      <c r="L47" s="88">
        <v>7.1015100000000002</v>
      </c>
      <c r="M47" s="271">
        <v>3.4372199999999999</v>
      </c>
      <c r="N47" s="234">
        <f t="shared" si="1"/>
        <v>3.9074299999999997</v>
      </c>
      <c r="O47" s="278">
        <v>3.9074299999999997</v>
      </c>
      <c r="P47" s="272">
        <v>0</v>
      </c>
      <c r="Q47" s="273">
        <v>0.75751999999999997</v>
      </c>
    </row>
    <row r="48" spans="2:17">
      <c r="B48" s="180" t="s">
        <v>312</v>
      </c>
      <c r="C48" s="280" t="s">
        <v>313</v>
      </c>
      <c r="D48" s="234">
        <f t="shared" si="22"/>
        <v>29.29289</v>
      </c>
      <c r="E48" s="235">
        <f t="shared" si="24"/>
        <v>0</v>
      </c>
      <c r="F48" s="270">
        <v>0</v>
      </c>
      <c r="G48" s="88">
        <v>0</v>
      </c>
      <c r="H48" s="272">
        <v>0</v>
      </c>
      <c r="I48" s="234">
        <f t="shared" si="16"/>
        <v>0</v>
      </c>
      <c r="J48" s="270">
        <v>0</v>
      </c>
      <c r="K48" s="88">
        <v>0</v>
      </c>
      <c r="L48" s="88">
        <v>0</v>
      </c>
      <c r="M48" s="271">
        <v>0</v>
      </c>
      <c r="N48" s="234">
        <f t="shared" si="1"/>
        <v>29.29289</v>
      </c>
      <c r="O48" s="278">
        <v>29.29289</v>
      </c>
      <c r="P48" s="272">
        <v>0</v>
      </c>
      <c r="Q48" s="273">
        <v>0</v>
      </c>
    </row>
    <row r="49" spans="1:17">
      <c r="B49" s="180" t="s">
        <v>314</v>
      </c>
      <c r="C49" s="281" t="s">
        <v>264</v>
      </c>
      <c r="D49" s="234">
        <f t="shared" si="22"/>
        <v>18.236990000000002</v>
      </c>
      <c r="E49" s="235">
        <f t="shared" si="24"/>
        <v>17.959540000000001</v>
      </c>
      <c r="F49" s="270">
        <v>0</v>
      </c>
      <c r="G49" s="88">
        <v>0</v>
      </c>
      <c r="H49" s="272">
        <v>17.959540000000001</v>
      </c>
      <c r="I49" s="234">
        <f t="shared" si="16"/>
        <v>0.23644999999999999</v>
      </c>
      <c r="J49" s="270">
        <v>0.23644999999999999</v>
      </c>
      <c r="K49" s="88">
        <v>0</v>
      </c>
      <c r="L49" s="88">
        <v>0</v>
      </c>
      <c r="M49" s="271">
        <v>0</v>
      </c>
      <c r="N49" s="234">
        <f t="shared" si="1"/>
        <v>4.1000000000000002E-2</v>
      </c>
      <c r="O49" s="278">
        <v>4.1000000000000002E-2</v>
      </c>
      <c r="P49" s="272">
        <v>0</v>
      </c>
      <c r="Q49" s="273">
        <v>0</v>
      </c>
    </row>
    <row r="50" spans="1:17" ht="27" thickBot="1">
      <c r="B50" s="180" t="s">
        <v>315</v>
      </c>
      <c r="C50" s="281" t="s">
        <v>316</v>
      </c>
      <c r="D50" s="234">
        <f t="shared" si="22"/>
        <v>20.937360000000002</v>
      </c>
      <c r="E50" s="235">
        <f t="shared" si="24"/>
        <v>0.49585000000000001</v>
      </c>
      <c r="F50" s="270">
        <v>0</v>
      </c>
      <c r="G50" s="88">
        <v>0.17099</v>
      </c>
      <c r="H50" s="272">
        <v>0.32486000000000004</v>
      </c>
      <c r="I50" s="234">
        <f t="shared" si="16"/>
        <v>19.683250000000001</v>
      </c>
      <c r="J50" s="270">
        <v>0.43703999999999998</v>
      </c>
      <c r="K50" s="88">
        <v>5.4236299999999993</v>
      </c>
      <c r="L50" s="88">
        <v>13.82258</v>
      </c>
      <c r="M50" s="271">
        <v>0.73478999999999994</v>
      </c>
      <c r="N50" s="234">
        <f t="shared" si="1"/>
        <v>2.3469999999999998E-2</v>
      </c>
      <c r="O50" s="278">
        <v>2.3469999999999998E-2</v>
      </c>
      <c r="P50" s="272">
        <v>0</v>
      </c>
      <c r="Q50" s="273">
        <v>0</v>
      </c>
    </row>
    <row r="51" spans="1:17" ht="15" thickBot="1">
      <c r="B51" s="268" t="s">
        <v>317</v>
      </c>
      <c r="C51" s="269" t="s">
        <v>318</v>
      </c>
      <c r="D51" s="163">
        <f t="shared" si="22"/>
        <v>520.7663921748009</v>
      </c>
      <c r="E51" s="164">
        <f t="shared" si="24"/>
        <v>193.45711919068751</v>
      </c>
      <c r="F51" s="282">
        <v>23.861941591206964</v>
      </c>
      <c r="G51" s="283">
        <v>27.40202322469657</v>
      </c>
      <c r="H51" s="284">
        <v>142.19315437478397</v>
      </c>
      <c r="I51" s="163">
        <f t="shared" si="16"/>
        <v>295.19949827380458</v>
      </c>
      <c r="J51" s="282">
        <v>161.57918453145766</v>
      </c>
      <c r="K51" s="283">
        <v>86.158229800184046</v>
      </c>
      <c r="L51" s="283">
        <v>47.462083942162906</v>
      </c>
      <c r="M51" s="285">
        <v>26.776361552345136</v>
      </c>
      <c r="N51" s="163">
        <f t="shared" si="1"/>
        <v>5.3334131579636868</v>
      </c>
      <c r="O51" s="286">
        <v>5.3334131579636868</v>
      </c>
      <c r="P51" s="284">
        <v>0</v>
      </c>
      <c r="Q51" s="287">
        <v>0</v>
      </c>
    </row>
    <row r="52" spans="1:17">
      <c r="B52" s="268" t="s">
        <v>319</v>
      </c>
      <c r="C52" s="269" t="s">
        <v>320</v>
      </c>
      <c r="D52" s="163">
        <f t="shared" si="22"/>
        <v>1349.8074799999997</v>
      </c>
      <c r="E52" s="164">
        <f t="shared" si="24"/>
        <v>376.59595999999999</v>
      </c>
      <c r="F52" s="165">
        <f>SUM(F53:F57)</f>
        <v>97.676759999999987</v>
      </c>
      <c r="G52" s="166">
        <f>SUM(G53:G57)</f>
        <v>49.941299999999998</v>
      </c>
      <c r="H52" s="167">
        <f>SUM(H53:H57)</f>
        <v>228.97790000000001</v>
      </c>
      <c r="I52" s="163">
        <f t="shared" si="16"/>
        <v>839.0377299999999</v>
      </c>
      <c r="J52" s="165">
        <f t="shared" ref="J52:Q52" si="29">SUM(J53:J57)</f>
        <v>354.32869999999997</v>
      </c>
      <c r="K52" s="166">
        <f t="shared" si="29"/>
        <v>362.73896999999999</v>
      </c>
      <c r="L52" s="166">
        <f t="shared" si="29"/>
        <v>121.97006</v>
      </c>
      <c r="M52" s="168">
        <f t="shared" si="29"/>
        <v>32.880359999999996</v>
      </c>
      <c r="N52" s="163">
        <f t="shared" si="1"/>
        <v>86.158590000000004</v>
      </c>
      <c r="O52" s="169">
        <f>SUM(O53:O57)</f>
        <v>86.158590000000004</v>
      </c>
      <c r="P52" s="167">
        <f t="shared" si="29"/>
        <v>0</v>
      </c>
      <c r="Q52" s="163">
        <f t="shared" si="29"/>
        <v>15.134840000000001</v>
      </c>
    </row>
    <row r="53" spans="1:17">
      <c r="B53" s="288" t="s">
        <v>321</v>
      </c>
      <c r="C53" s="289" t="s">
        <v>322</v>
      </c>
      <c r="D53" s="234">
        <f t="shared" si="22"/>
        <v>1308.0124899999998</v>
      </c>
      <c r="E53" s="235">
        <f t="shared" si="24"/>
        <v>364.50404000000003</v>
      </c>
      <c r="F53" s="271">
        <v>95.062909999999988</v>
      </c>
      <c r="G53" s="88">
        <v>48.373170000000002</v>
      </c>
      <c r="H53" s="272">
        <v>221.06796000000003</v>
      </c>
      <c r="I53" s="234">
        <f t="shared" si="16"/>
        <v>812.58826999999985</v>
      </c>
      <c r="J53" s="270">
        <v>344.51820999999995</v>
      </c>
      <c r="K53" s="88">
        <v>349.86944</v>
      </c>
      <c r="L53" s="88">
        <v>118.20062</v>
      </c>
      <c r="M53" s="271">
        <v>32.254770000000001</v>
      </c>
      <c r="N53" s="234">
        <f t="shared" si="1"/>
        <v>83.795570000000012</v>
      </c>
      <c r="O53" s="278">
        <v>83.795570000000012</v>
      </c>
      <c r="P53" s="272">
        <v>0</v>
      </c>
      <c r="Q53" s="273">
        <v>14.86984</v>
      </c>
    </row>
    <row r="54" spans="1:17">
      <c r="B54" s="290" t="s">
        <v>323</v>
      </c>
      <c r="C54" s="291" t="s">
        <v>324</v>
      </c>
      <c r="D54" s="234">
        <f t="shared" si="22"/>
        <v>23.409679999999998</v>
      </c>
      <c r="E54" s="235">
        <f t="shared" si="24"/>
        <v>6.4350500000000004</v>
      </c>
      <c r="F54" s="271">
        <v>1.6788899999999998</v>
      </c>
      <c r="G54" s="88">
        <v>0.86012999999999995</v>
      </c>
      <c r="H54" s="272">
        <v>3.8960300000000001</v>
      </c>
      <c r="I54" s="234">
        <f t="shared" si="16"/>
        <v>14.665059999999999</v>
      </c>
      <c r="J54" s="270">
        <v>6.0755100000000004</v>
      </c>
      <c r="K54" s="88">
        <v>6.4973499999999991</v>
      </c>
      <c r="L54" s="88">
        <v>2.0922000000000001</v>
      </c>
      <c r="M54" s="271">
        <v>0.56913999999999998</v>
      </c>
      <c r="N54" s="234">
        <f t="shared" si="1"/>
        <v>1.4754299999999998</v>
      </c>
      <c r="O54" s="278">
        <v>1.4754299999999998</v>
      </c>
      <c r="P54" s="272">
        <v>0</v>
      </c>
      <c r="Q54" s="273">
        <v>0.26500000000000001</v>
      </c>
    </row>
    <row r="55" spans="1:17">
      <c r="B55" s="288" t="s">
        <v>325</v>
      </c>
      <c r="C55" s="289" t="s">
        <v>326</v>
      </c>
      <c r="D55" s="234">
        <f t="shared" si="22"/>
        <v>11.73481</v>
      </c>
      <c r="E55" s="235">
        <f t="shared" si="24"/>
        <v>3.6668699999999999</v>
      </c>
      <c r="F55" s="271">
        <v>6.7959999999999993E-2</v>
      </c>
      <c r="G55" s="88">
        <v>0.184</v>
      </c>
      <c r="H55" s="272">
        <v>3.4149099999999999</v>
      </c>
      <c r="I55" s="234">
        <f t="shared" si="16"/>
        <v>7.3458999999999994</v>
      </c>
      <c r="J55" s="270">
        <v>2.72248</v>
      </c>
      <c r="K55" s="88">
        <v>3.3346800000000001</v>
      </c>
      <c r="L55" s="88">
        <v>1.28874</v>
      </c>
      <c r="M55" s="271">
        <v>5.645E-2</v>
      </c>
      <c r="N55" s="234">
        <f t="shared" si="1"/>
        <v>0.66559000000000001</v>
      </c>
      <c r="O55" s="278">
        <v>0.66559000000000001</v>
      </c>
      <c r="P55" s="272">
        <v>0</v>
      </c>
      <c r="Q55" s="273">
        <v>0</v>
      </c>
    </row>
    <row r="56" spans="1:17">
      <c r="B56" s="288" t="s">
        <v>327</v>
      </c>
      <c r="C56" s="280" t="s">
        <v>328</v>
      </c>
      <c r="D56" s="234">
        <f t="shared" si="22"/>
        <v>0</v>
      </c>
      <c r="E56" s="235">
        <f t="shared" ref="E56:E57" si="30">SUM(F56:H56)</f>
        <v>0</v>
      </c>
      <c r="F56" s="271">
        <v>0</v>
      </c>
      <c r="G56" s="88">
        <v>0</v>
      </c>
      <c r="H56" s="272">
        <v>0</v>
      </c>
      <c r="I56" s="234">
        <f t="shared" ref="I56:I119" si="31">SUM(J56:L56)</f>
        <v>0</v>
      </c>
      <c r="J56" s="270">
        <v>0</v>
      </c>
      <c r="K56" s="88">
        <v>0</v>
      </c>
      <c r="L56" s="88">
        <v>0</v>
      </c>
      <c r="M56" s="271">
        <v>0</v>
      </c>
      <c r="N56" s="234">
        <f t="shared" si="1"/>
        <v>0</v>
      </c>
      <c r="O56" s="278">
        <v>0</v>
      </c>
      <c r="P56" s="272">
        <v>0</v>
      </c>
      <c r="Q56" s="273">
        <v>0</v>
      </c>
    </row>
    <row r="57" spans="1:17" ht="15" thickBot="1">
      <c r="B57" s="288" t="s">
        <v>329</v>
      </c>
      <c r="C57" s="280" t="s">
        <v>330</v>
      </c>
      <c r="D57" s="234">
        <f t="shared" si="22"/>
        <v>6.6504999999999992</v>
      </c>
      <c r="E57" s="235">
        <f t="shared" si="30"/>
        <v>1.99</v>
      </c>
      <c r="F57" s="271">
        <v>0.86699999999999999</v>
      </c>
      <c r="G57" s="88">
        <v>0.52400000000000002</v>
      </c>
      <c r="H57" s="272">
        <v>0.59899999999999998</v>
      </c>
      <c r="I57" s="234">
        <f t="shared" si="31"/>
        <v>4.4384999999999994</v>
      </c>
      <c r="J57" s="270">
        <v>1.0125</v>
      </c>
      <c r="K57" s="88">
        <v>3.0375000000000001</v>
      </c>
      <c r="L57" s="88">
        <v>0.38850000000000001</v>
      </c>
      <c r="M57" s="271">
        <v>0</v>
      </c>
      <c r="N57" s="234">
        <f t="shared" si="1"/>
        <v>0.222</v>
      </c>
      <c r="O57" s="278">
        <v>0.222</v>
      </c>
      <c r="P57" s="272">
        <v>0</v>
      </c>
      <c r="Q57" s="273">
        <v>0</v>
      </c>
    </row>
    <row r="58" spans="1:17">
      <c r="B58" s="268" t="s">
        <v>331</v>
      </c>
      <c r="C58" s="269" t="s">
        <v>332</v>
      </c>
      <c r="D58" s="163">
        <f t="shared" si="22"/>
        <v>369.40785</v>
      </c>
      <c r="E58" s="164">
        <f t="shared" si="24"/>
        <v>179.23881879976562</v>
      </c>
      <c r="F58" s="165">
        <f>SUM(F59:F64)</f>
        <v>152.73823000000002</v>
      </c>
      <c r="G58" s="166">
        <f>SUM(G59:G64)</f>
        <v>0.13862999999999998</v>
      </c>
      <c r="H58" s="167">
        <f>SUM(H59:H64)</f>
        <v>26.361958799765617</v>
      </c>
      <c r="I58" s="163">
        <f t="shared" si="31"/>
        <v>182.09522120023439</v>
      </c>
      <c r="J58" s="165">
        <f t="shared" ref="J58:Q58" si="32">SUM(J59:J64)</f>
        <v>20.612753683963071</v>
      </c>
      <c r="K58" s="166">
        <f t="shared" si="32"/>
        <v>150.48714538296278</v>
      </c>
      <c r="L58" s="166">
        <f t="shared" si="32"/>
        <v>10.995322133308543</v>
      </c>
      <c r="M58" s="168">
        <f t="shared" si="32"/>
        <v>8.0120699999999996</v>
      </c>
      <c r="N58" s="163">
        <f t="shared" si="1"/>
        <v>6.1740000000000003E-2</v>
      </c>
      <c r="O58" s="169">
        <f>SUM(O59:O64)</f>
        <v>6.1740000000000003E-2</v>
      </c>
      <c r="P58" s="167">
        <f t="shared" si="32"/>
        <v>0</v>
      </c>
      <c r="Q58" s="163">
        <f t="shared" si="32"/>
        <v>0</v>
      </c>
    </row>
    <row r="59" spans="1:17">
      <c r="B59" s="288" t="s">
        <v>333</v>
      </c>
      <c r="C59" s="289" t="s">
        <v>334</v>
      </c>
      <c r="D59" s="182">
        <f t="shared" si="22"/>
        <v>147.376</v>
      </c>
      <c r="E59" s="235">
        <f t="shared" si="24"/>
        <v>147.376</v>
      </c>
      <c r="F59" s="277">
        <v>147.376</v>
      </c>
      <c r="G59" s="237">
        <v>0</v>
      </c>
      <c r="H59" s="238">
        <v>0</v>
      </c>
      <c r="I59" s="234">
        <f t="shared" si="31"/>
        <v>0</v>
      </c>
      <c r="J59" s="236">
        <v>0</v>
      </c>
      <c r="K59" s="237">
        <v>0</v>
      </c>
      <c r="L59" s="237">
        <v>0</v>
      </c>
      <c r="M59" s="239">
        <v>0</v>
      </c>
      <c r="N59" s="234">
        <f t="shared" si="1"/>
        <v>0</v>
      </c>
      <c r="O59" s="240">
        <v>0</v>
      </c>
      <c r="P59" s="276">
        <v>0</v>
      </c>
      <c r="Q59" s="292">
        <v>0</v>
      </c>
    </row>
    <row r="60" spans="1:17">
      <c r="B60" s="288" t="s">
        <v>335</v>
      </c>
      <c r="C60" s="289" t="s">
        <v>336</v>
      </c>
      <c r="D60" s="182">
        <f t="shared" si="22"/>
        <v>137.55699999999999</v>
      </c>
      <c r="E60" s="235">
        <f t="shared" si="24"/>
        <v>0</v>
      </c>
      <c r="F60" s="277">
        <v>0</v>
      </c>
      <c r="G60" s="275">
        <v>0</v>
      </c>
      <c r="H60" s="276">
        <v>0</v>
      </c>
      <c r="I60" s="234">
        <f t="shared" si="31"/>
        <v>130.744</v>
      </c>
      <c r="J60" s="277">
        <v>0</v>
      </c>
      <c r="K60" s="275">
        <v>130.744</v>
      </c>
      <c r="L60" s="275">
        <v>0</v>
      </c>
      <c r="M60" s="279">
        <v>6.8129999999999997</v>
      </c>
      <c r="N60" s="234">
        <f t="shared" si="1"/>
        <v>0</v>
      </c>
      <c r="O60" s="293">
        <v>0</v>
      </c>
      <c r="P60" s="276">
        <v>0</v>
      </c>
      <c r="Q60" s="292">
        <v>0</v>
      </c>
    </row>
    <row r="61" spans="1:17">
      <c r="B61" s="288" t="s">
        <v>337</v>
      </c>
      <c r="C61" s="291" t="s">
        <v>338</v>
      </c>
      <c r="D61" s="191">
        <f t="shared" si="22"/>
        <v>12.60732</v>
      </c>
      <c r="E61" s="294">
        <f t="shared" si="24"/>
        <v>7.1913299999999998</v>
      </c>
      <c r="F61" s="295">
        <v>5.3622299999999994</v>
      </c>
      <c r="G61" s="296">
        <v>0.12559999999999999</v>
      </c>
      <c r="H61" s="297">
        <v>1.7035</v>
      </c>
      <c r="I61" s="298">
        <f t="shared" si="31"/>
        <v>5.4159899999999999</v>
      </c>
      <c r="J61" s="295">
        <v>1.0234400000000001</v>
      </c>
      <c r="K61" s="296">
        <v>2.7298499999999999</v>
      </c>
      <c r="L61" s="296">
        <v>1.6627000000000001</v>
      </c>
      <c r="M61" s="299">
        <v>0</v>
      </c>
      <c r="N61" s="298">
        <f t="shared" si="1"/>
        <v>0</v>
      </c>
      <c r="O61" s="300">
        <v>0</v>
      </c>
      <c r="P61" s="297">
        <v>0</v>
      </c>
      <c r="Q61" s="301">
        <v>0</v>
      </c>
    </row>
    <row r="62" spans="1:17" s="128" customFormat="1">
      <c r="A62" s="129"/>
      <c r="B62" s="290" t="s">
        <v>339</v>
      </c>
      <c r="C62" s="291" t="s">
        <v>340</v>
      </c>
      <c r="D62" s="191">
        <f t="shared" si="22"/>
        <v>0</v>
      </c>
      <c r="E62" s="294">
        <f t="shared" si="24"/>
        <v>0</v>
      </c>
      <c r="F62" s="295">
        <v>0</v>
      </c>
      <c r="G62" s="296">
        <v>0</v>
      </c>
      <c r="H62" s="297">
        <v>0</v>
      </c>
      <c r="I62" s="298">
        <f t="shared" si="31"/>
        <v>0</v>
      </c>
      <c r="J62" s="295">
        <v>0</v>
      </c>
      <c r="K62" s="296">
        <v>0</v>
      </c>
      <c r="L62" s="296">
        <v>0</v>
      </c>
      <c r="M62" s="299">
        <v>0</v>
      </c>
      <c r="N62" s="298">
        <f t="shared" si="1"/>
        <v>0</v>
      </c>
      <c r="O62" s="300">
        <v>0</v>
      </c>
      <c r="P62" s="297">
        <v>0</v>
      </c>
      <c r="Q62" s="301">
        <v>0</v>
      </c>
    </row>
    <row r="63" spans="1:17" s="128" customFormat="1">
      <c r="A63" s="129"/>
      <c r="B63" s="302" t="s">
        <v>341</v>
      </c>
      <c r="C63" s="303" t="s">
        <v>342</v>
      </c>
      <c r="D63" s="191">
        <f t="shared" si="22"/>
        <v>56.437580000000011</v>
      </c>
      <c r="E63" s="294">
        <f t="shared" si="24"/>
        <v>19.845578799765615</v>
      </c>
      <c r="F63" s="295">
        <v>0</v>
      </c>
      <c r="G63" s="304">
        <v>0</v>
      </c>
      <c r="H63" s="305">
        <v>19.845578799765615</v>
      </c>
      <c r="I63" s="298">
        <f t="shared" si="31"/>
        <v>36.592001200234392</v>
      </c>
      <c r="J63" s="306">
        <v>14.75217368396307</v>
      </c>
      <c r="K63" s="304">
        <v>14.099515382962776</v>
      </c>
      <c r="L63" s="304">
        <v>7.7403121333085441</v>
      </c>
      <c r="M63" s="307">
        <v>0</v>
      </c>
      <c r="N63" s="298">
        <v>0</v>
      </c>
      <c r="O63" s="308">
        <v>0</v>
      </c>
      <c r="P63" s="297">
        <v>0</v>
      </c>
      <c r="Q63" s="309">
        <v>0</v>
      </c>
    </row>
    <row r="64" spans="1:17" s="128" customFormat="1" ht="15" thickBot="1">
      <c r="A64" s="129"/>
      <c r="B64" s="302" t="s">
        <v>343</v>
      </c>
      <c r="C64" s="303" t="s">
        <v>344</v>
      </c>
      <c r="D64" s="310">
        <f t="shared" si="22"/>
        <v>15.42995</v>
      </c>
      <c r="E64" s="311">
        <f t="shared" si="24"/>
        <v>4.8259099999999995</v>
      </c>
      <c r="F64" s="306">
        <v>0</v>
      </c>
      <c r="G64" s="304">
        <v>1.303E-2</v>
      </c>
      <c r="H64" s="305">
        <v>4.8128799999999998</v>
      </c>
      <c r="I64" s="312">
        <f t="shared" si="31"/>
        <v>9.3432300000000001</v>
      </c>
      <c r="J64" s="306">
        <v>4.8371400000000007</v>
      </c>
      <c r="K64" s="304">
        <v>2.9137799999999996</v>
      </c>
      <c r="L64" s="304">
        <v>1.5923099999999999</v>
      </c>
      <c r="M64" s="307">
        <v>1.1990700000000001</v>
      </c>
      <c r="N64" s="312">
        <f t="shared" ref="N64" si="33">O64+P64</f>
        <v>6.1740000000000003E-2</v>
      </c>
      <c r="O64" s="308">
        <v>6.1740000000000003E-2</v>
      </c>
      <c r="P64" s="297">
        <v>0</v>
      </c>
      <c r="Q64" s="309">
        <v>0</v>
      </c>
    </row>
    <row r="65" spans="2:17">
      <c r="B65" s="268" t="s">
        <v>345</v>
      </c>
      <c r="C65" s="313" t="s">
        <v>346</v>
      </c>
      <c r="D65" s="314">
        <f t="shared" si="22"/>
        <v>0</v>
      </c>
      <c r="E65" s="315">
        <f t="shared" si="24"/>
        <v>0</v>
      </c>
      <c r="F65" s="316">
        <f>F66+F67</f>
        <v>0</v>
      </c>
      <c r="G65" s="317">
        <f>G66+G67</f>
        <v>0</v>
      </c>
      <c r="H65" s="318">
        <f>H66+H67</f>
        <v>0</v>
      </c>
      <c r="I65" s="314">
        <f t="shared" si="31"/>
        <v>0</v>
      </c>
      <c r="J65" s="316">
        <f t="shared" ref="J65:Q65" si="34">J66+J67</f>
        <v>0</v>
      </c>
      <c r="K65" s="317">
        <f t="shared" si="34"/>
        <v>0</v>
      </c>
      <c r="L65" s="317">
        <f t="shared" si="34"/>
        <v>0</v>
      </c>
      <c r="M65" s="319">
        <f t="shared" si="34"/>
        <v>0</v>
      </c>
      <c r="N65" s="314">
        <f t="shared" si="1"/>
        <v>0</v>
      </c>
      <c r="O65" s="320">
        <f>O66+O67</f>
        <v>0</v>
      </c>
      <c r="P65" s="318">
        <f t="shared" si="34"/>
        <v>0</v>
      </c>
      <c r="Q65" s="314">
        <f t="shared" si="34"/>
        <v>0</v>
      </c>
    </row>
    <row r="66" spans="2:17">
      <c r="B66" s="288" t="s">
        <v>347</v>
      </c>
      <c r="C66" s="291" t="s">
        <v>348</v>
      </c>
      <c r="D66" s="191">
        <f t="shared" si="22"/>
        <v>0</v>
      </c>
      <c r="E66" s="192">
        <f t="shared" si="24"/>
        <v>0</v>
      </c>
      <c r="F66" s="321">
        <v>0</v>
      </c>
      <c r="G66" s="322">
        <v>0</v>
      </c>
      <c r="H66" s="323">
        <v>0</v>
      </c>
      <c r="I66" s="191">
        <f t="shared" si="31"/>
        <v>0</v>
      </c>
      <c r="J66" s="321">
        <v>0</v>
      </c>
      <c r="K66" s="322">
        <v>0</v>
      </c>
      <c r="L66" s="322">
        <v>0</v>
      </c>
      <c r="M66" s="324">
        <v>0</v>
      </c>
      <c r="N66" s="191">
        <f t="shared" si="1"/>
        <v>0</v>
      </c>
      <c r="O66" s="325">
        <v>0</v>
      </c>
      <c r="P66" s="323">
        <v>0</v>
      </c>
      <c r="Q66" s="326">
        <v>0</v>
      </c>
    </row>
    <row r="67" spans="2:17" ht="15" thickBot="1">
      <c r="B67" s="327" t="s">
        <v>349</v>
      </c>
      <c r="C67" s="303" t="s">
        <v>350</v>
      </c>
      <c r="D67" s="310">
        <f t="shared" si="22"/>
        <v>0</v>
      </c>
      <c r="E67" s="328">
        <f t="shared" si="24"/>
        <v>0</v>
      </c>
      <c r="F67" s="329">
        <v>0</v>
      </c>
      <c r="G67" s="330">
        <v>0</v>
      </c>
      <c r="H67" s="331">
        <v>0</v>
      </c>
      <c r="I67" s="310">
        <f t="shared" si="31"/>
        <v>0</v>
      </c>
      <c r="J67" s="329">
        <v>0</v>
      </c>
      <c r="K67" s="330">
        <v>0</v>
      </c>
      <c r="L67" s="330">
        <v>0</v>
      </c>
      <c r="M67" s="332">
        <v>0</v>
      </c>
      <c r="N67" s="310">
        <f t="shared" si="1"/>
        <v>0</v>
      </c>
      <c r="O67" s="333">
        <v>0</v>
      </c>
      <c r="P67" s="331">
        <v>0</v>
      </c>
      <c r="Q67" s="334">
        <v>0</v>
      </c>
    </row>
    <row r="68" spans="2:17">
      <c r="B68" s="268" t="s">
        <v>351</v>
      </c>
      <c r="C68" s="269" t="s">
        <v>352</v>
      </c>
      <c r="D68" s="163">
        <f t="shared" si="22"/>
        <v>3.3081199999999997</v>
      </c>
      <c r="E68" s="164">
        <f t="shared" si="24"/>
        <v>0.22450000000000001</v>
      </c>
      <c r="F68" s="165">
        <f>SUM(F69:F82)</f>
        <v>0</v>
      </c>
      <c r="G68" s="166">
        <f>SUM(G69:G82)</f>
        <v>0.22450000000000001</v>
      </c>
      <c r="H68" s="167">
        <f>SUM(H69:H82)</f>
        <v>0</v>
      </c>
      <c r="I68" s="163">
        <f t="shared" si="31"/>
        <v>2.4005399999999999</v>
      </c>
      <c r="J68" s="165">
        <f t="shared" ref="J68:Q68" si="35">SUM(J69:J82)</f>
        <v>0</v>
      </c>
      <c r="K68" s="166">
        <f t="shared" si="35"/>
        <v>2.4005399999999999</v>
      </c>
      <c r="L68" s="166">
        <f t="shared" si="35"/>
        <v>0</v>
      </c>
      <c r="M68" s="168">
        <f t="shared" si="35"/>
        <v>2.3039999999999998E-2</v>
      </c>
      <c r="N68" s="163">
        <f t="shared" si="1"/>
        <v>0.66003999999999996</v>
      </c>
      <c r="O68" s="169">
        <f>SUM(O69:O82)</f>
        <v>0.66003999999999996</v>
      </c>
      <c r="P68" s="167">
        <f t="shared" si="35"/>
        <v>0</v>
      </c>
      <c r="Q68" s="163">
        <f t="shared" si="35"/>
        <v>0</v>
      </c>
    </row>
    <row r="69" spans="2:17">
      <c r="B69" s="288" t="s">
        <v>353</v>
      </c>
      <c r="C69" s="291" t="s">
        <v>354</v>
      </c>
      <c r="D69" s="182">
        <f t="shared" si="22"/>
        <v>0</v>
      </c>
      <c r="E69" s="183">
        <f t="shared" si="24"/>
        <v>0</v>
      </c>
      <c r="F69" s="335">
        <v>0</v>
      </c>
      <c r="G69" s="336">
        <v>0</v>
      </c>
      <c r="H69" s="337">
        <v>0</v>
      </c>
      <c r="I69" s="182">
        <f t="shared" si="31"/>
        <v>0</v>
      </c>
      <c r="J69" s="335">
        <v>0</v>
      </c>
      <c r="K69" s="336">
        <v>0</v>
      </c>
      <c r="L69" s="336">
        <v>0</v>
      </c>
      <c r="M69" s="338">
        <v>0</v>
      </c>
      <c r="N69" s="182">
        <f t="shared" si="1"/>
        <v>0</v>
      </c>
      <c r="O69" s="339">
        <v>0</v>
      </c>
      <c r="P69" s="337">
        <v>0</v>
      </c>
      <c r="Q69" s="340">
        <v>0</v>
      </c>
    </row>
    <row r="70" spans="2:17">
      <c r="B70" s="288" t="s">
        <v>355</v>
      </c>
      <c r="C70" s="291" t="s">
        <v>356</v>
      </c>
      <c r="D70" s="182">
        <f t="shared" si="22"/>
        <v>0</v>
      </c>
      <c r="E70" s="183">
        <f t="shared" si="24"/>
        <v>0</v>
      </c>
      <c r="F70" s="335">
        <v>0</v>
      </c>
      <c r="G70" s="336">
        <v>0</v>
      </c>
      <c r="H70" s="337">
        <v>0</v>
      </c>
      <c r="I70" s="182">
        <f t="shared" si="31"/>
        <v>0</v>
      </c>
      <c r="J70" s="335">
        <v>0</v>
      </c>
      <c r="K70" s="336">
        <v>0</v>
      </c>
      <c r="L70" s="336">
        <v>0</v>
      </c>
      <c r="M70" s="338">
        <v>0</v>
      </c>
      <c r="N70" s="182">
        <f t="shared" si="1"/>
        <v>0</v>
      </c>
      <c r="O70" s="339">
        <v>0</v>
      </c>
      <c r="P70" s="337">
        <v>0</v>
      </c>
      <c r="Q70" s="340">
        <v>0</v>
      </c>
    </row>
    <row r="71" spans="2:17">
      <c r="B71" s="288" t="s">
        <v>357</v>
      </c>
      <c r="C71" s="291" t="s">
        <v>358</v>
      </c>
      <c r="D71" s="182">
        <f t="shared" si="22"/>
        <v>0</v>
      </c>
      <c r="E71" s="183">
        <f t="shared" si="24"/>
        <v>0</v>
      </c>
      <c r="F71" s="335">
        <v>0</v>
      </c>
      <c r="G71" s="336">
        <v>0</v>
      </c>
      <c r="H71" s="337">
        <v>0</v>
      </c>
      <c r="I71" s="182">
        <f t="shared" si="31"/>
        <v>0</v>
      </c>
      <c r="J71" s="335">
        <v>0</v>
      </c>
      <c r="K71" s="336">
        <v>0</v>
      </c>
      <c r="L71" s="336">
        <v>0</v>
      </c>
      <c r="M71" s="338">
        <v>0</v>
      </c>
      <c r="N71" s="182">
        <f t="shared" si="1"/>
        <v>0</v>
      </c>
      <c r="O71" s="339">
        <v>0</v>
      </c>
      <c r="P71" s="337">
        <v>0</v>
      </c>
      <c r="Q71" s="340">
        <v>0</v>
      </c>
    </row>
    <row r="72" spans="2:17">
      <c r="B72" s="288" t="s">
        <v>359</v>
      </c>
      <c r="C72" s="289" t="s">
        <v>360</v>
      </c>
      <c r="D72" s="182">
        <f t="shared" si="22"/>
        <v>0</v>
      </c>
      <c r="E72" s="183">
        <f t="shared" si="24"/>
        <v>0</v>
      </c>
      <c r="F72" s="335">
        <v>0</v>
      </c>
      <c r="G72" s="336">
        <v>0</v>
      </c>
      <c r="H72" s="337">
        <v>0</v>
      </c>
      <c r="I72" s="182">
        <f t="shared" si="31"/>
        <v>0</v>
      </c>
      <c r="J72" s="335">
        <v>0</v>
      </c>
      <c r="K72" s="336">
        <v>0</v>
      </c>
      <c r="L72" s="336">
        <v>0</v>
      </c>
      <c r="M72" s="338">
        <v>0</v>
      </c>
      <c r="N72" s="182">
        <f t="shared" si="1"/>
        <v>0</v>
      </c>
      <c r="O72" s="339">
        <v>0</v>
      </c>
      <c r="P72" s="337">
        <v>0</v>
      </c>
      <c r="Q72" s="340">
        <v>0</v>
      </c>
    </row>
    <row r="73" spans="2:17">
      <c r="B73" s="288" t="s">
        <v>361</v>
      </c>
      <c r="C73" s="289" t="s">
        <v>362</v>
      </c>
      <c r="D73" s="182">
        <f t="shared" si="22"/>
        <v>0.21045</v>
      </c>
      <c r="E73" s="183">
        <f t="shared" si="24"/>
        <v>0</v>
      </c>
      <c r="F73" s="335">
        <v>0</v>
      </c>
      <c r="G73" s="336">
        <v>0</v>
      </c>
      <c r="H73" s="337">
        <v>0</v>
      </c>
      <c r="I73" s="182">
        <f t="shared" si="31"/>
        <v>0.21045</v>
      </c>
      <c r="J73" s="335">
        <v>0</v>
      </c>
      <c r="K73" s="336">
        <v>0.21045</v>
      </c>
      <c r="L73" s="336">
        <v>0</v>
      </c>
      <c r="M73" s="338">
        <v>0</v>
      </c>
      <c r="N73" s="182">
        <f t="shared" si="1"/>
        <v>0</v>
      </c>
      <c r="O73" s="339">
        <v>0</v>
      </c>
      <c r="P73" s="337">
        <v>0</v>
      </c>
      <c r="Q73" s="340">
        <v>0</v>
      </c>
    </row>
    <row r="74" spans="2:17">
      <c r="B74" s="288" t="s">
        <v>363</v>
      </c>
      <c r="C74" s="289" t="s">
        <v>364</v>
      </c>
      <c r="D74" s="182">
        <f t="shared" si="22"/>
        <v>0.68784000000000001</v>
      </c>
      <c r="E74" s="183">
        <f t="shared" si="24"/>
        <v>0.22450000000000001</v>
      </c>
      <c r="F74" s="335">
        <v>0</v>
      </c>
      <c r="G74" s="336">
        <v>0.22450000000000001</v>
      </c>
      <c r="H74" s="337">
        <v>0</v>
      </c>
      <c r="I74" s="182">
        <f t="shared" si="31"/>
        <v>2.2100000000000002E-2</v>
      </c>
      <c r="J74" s="335">
        <v>0</v>
      </c>
      <c r="K74" s="336">
        <v>2.2100000000000002E-2</v>
      </c>
      <c r="L74" s="336">
        <v>0</v>
      </c>
      <c r="M74" s="338">
        <v>2.3039999999999998E-2</v>
      </c>
      <c r="N74" s="182">
        <f t="shared" si="1"/>
        <v>0.41820000000000002</v>
      </c>
      <c r="O74" s="339">
        <v>0.41820000000000002</v>
      </c>
      <c r="P74" s="337">
        <v>0</v>
      </c>
      <c r="Q74" s="340">
        <v>0</v>
      </c>
    </row>
    <row r="75" spans="2:17">
      <c r="B75" s="288" t="s">
        <v>365</v>
      </c>
      <c r="C75" s="291" t="s">
        <v>366</v>
      </c>
      <c r="D75" s="182">
        <f t="shared" si="22"/>
        <v>0.31839000000000001</v>
      </c>
      <c r="E75" s="183">
        <f t="shared" si="24"/>
        <v>0</v>
      </c>
      <c r="F75" s="335">
        <v>0</v>
      </c>
      <c r="G75" s="336">
        <v>0</v>
      </c>
      <c r="H75" s="337">
        <v>0</v>
      </c>
      <c r="I75" s="182">
        <f t="shared" si="31"/>
        <v>0.31839000000000001</v>
      </c>
      <c r="J75" s="335">
        <v>0</v>
      </c>
      <c r="K75" s="336">
        <v>0.31839000000000001</v>
      </c>
      <c r="L75" s="336">
        <v>0</v>
      </c>
      <c r="M75" s="338">
        <v>0</v>
      </c>
      <c r="N75" s="182">
        <f t="shared" si="1"/>
        <v>0</v>
      </c>
      <c r="O75" s="339">
        <v>0</v>
      </c>
      <c r="P75" s="337">
        <v>0</v>
      </c>
      <c r="Q75" s="340">
        <v>0</v>
      </c>
    </row>
    <row r="76" spans="2:17">
      <c r="B76" s="288" t="s">
        <v>367</v>
      </c>
      <c r="C76" s="289" t="s">
        <v>368</v>
      </c>
      <c r="D76" s="182">
        <f t="shared" si="22"/>
        <v>0</v>
      </c>
      <c r="E76" s="183">
        <f t="shared" si="24"/>
        <v>0</v>
      </c>
      <c r="F76" s="335">
        <v>0</v>
      </c>
      <c r="G76" s="336">
        <v>0</v>
      </c>
      <c r="H76" s="337">
        <v>0</v>
      </c>
      <c r="I76" s="182">
        <f t="shared" si="31"/>
        <v>0</v>
      </c>
      <c r="J76" s="335">
        <v>0</v>
      </c>
      <c r="K76" s="336">
        <v>0</v>
      </c>
      <c r="L76" s="336">
        <v>0</v>
      </c>
      <c r="M76" s="338">
        <v>0</v>
      </c>
      <c r="N76" s="182">
        <f t="shared" si="1"/>
        <v>0</v>
      </c>
      <c r="O76" s="339">
        <v>0</v>
      </c>
      <c r="P76" s="337">
        <v>0</v>
      </c>
      <c r="Q76" s="340">
        <v>0</v>
      </c>
    </row>
    <row r="77" spans="2:17">
      <c r="B77" s="288" t="s">
        <v>369</v>
      </c>
      <c r="C77" s="289" t="s">
        <v>370</v>
      </c>
      <c r="D77" s="182">
        <f t="shared" si="22"/>
        <v>1.8495999999999999</v>
      </c>
      <c r="E77" s="183">
        <f t="shared" si="24"/>
        <v>0</v>
      </c>
      <c r="F77" s="335">
        <v>0</v>
      </c>
      <c r="G77" s="336">
        <v>0</v>
      </c>
      <c r="H77" s="337">
        <v>0</v>
      </c>
      <c r="I77" s="182">
        <f t="shared" si="31"/>
        <v>1.8495999999999999</v>
      </c>
      <c r="J77" s="335">
        <v>0</v>
      </c>
      <c r="K77" s="336">
        <v>1.8495999999999999</v>
      </c>
      <c r="L77" s="336">
        <v>0</v>
      </c>
      <c r="M77" s="338">
        <v>0</v>
      </c>
      <c r="N77" s="182">
        <f t="shared" si="1"/>
        <v>0</v>
      </c>
      <c r="O77" s="339">
        <v>0</v>
      </c>
      <c r="P77" s="337">
        <v>0</v>
      </c>
      <c r="Q77" s="340">
        <v>0</v>
      </c>
    </row>
    <row r="78" spans="2:17">
      <c r="B78" s="288" t="s">
        <v>371</v>
      </c>
      <c r="C78" s="291" t="s">
        <v>372</v>
      </c>
      <c r="D78" s="182">
        <f t="shared" si="22"/>
        <v>0</v>
      </c>
      <c r="E78" s="183">
        <f t="shared" si="24"/>
        <v>0</v>
      </c>
      <c r="F78" s="335">
        <v>0</v>
      </c>
      <c r="G78" s="336">
        <v>0</v>
      </c>
      <c r="H78" s="337">
        <v>0</v>
      </c>
      <c r="I78" s="182">
        <f t="shared" si="31"/>
        <v>0</v>
      </c>
      <c r="J78" s="335">
        <v>0</v>
      </c>
      <c r="K78" s="336">
        <v>0</v>
      </c>
      <c r="L78" s="336">
        <v>0</v>
      </c>
      <c r="M78" s="338">
        <v>0</v>
      </c>
      <c r="N78" s="182">
        <f t="shared" ref="N78:N142" si="36">O78+P78</f>
        <v>0</v>
      </c>
      <c r="O78" s="339">
        <v>0</v>
      </c>
      <c r="P78" s="337">
        <v>0</v>
      </c>
      <c r="Q78" s="340">
        <v>0</v>
      </c>
    </row>
    <row r="79" spans="2:17">
      <c r="B79" s="288" t="s">
        <v>373</v>
      </c>
      <c r="C79" s="289" t="s">
        <v>374</v>
      </c>
      <c r="D79" s="182">
        <f t="shared" si="22"/>
        <v>0</v>
      </c>
      <c r="E79" s="183">
        <f t="shared" si="24"/>
        <v>0</v>
      </c>
      <c r="F79" s="335">
        <v>0</v>
      </c>
      <c r="G79" s="336">
        <v>0</v>
      </c>
      <c r="H79" s="337">
        <v>0</v>
      </c>
      <c r="I79" s="182">
        <f t="shared" si="31"/>
        <v>0</v>
      </c>
      <c r="J79" s="335">
        <v>0</v>
      </c>
      <c r="K79" s="336">
        <v>0</v>
      </c>
      <c r="L79" s="336">
        <v>0</v>
      </c>
      <c r="M79" s="338">
        <v>0</v>
      </c>
      <c r="N79" s="182">
        <f t="shared" si="36"/>
        <v>0</v>
      </c>
      <c r="O79" s="339">
        <v>0</v>
      </c>
      <c r="P79" s="337">
        <v>0</v>
      </c>
      <c r="Q79" s="340">
        <v>0</v>
      </c>
    </row>
    <row r="80" spans="2:17">
      <c r="B80" s="288" t="s">
        <v>375</v>
      </c>
      <c r="C80" s="289" t="s">
        <v>376</v>
      </c>
      <c r="D80" s="182">
        <f t="shared" si="22"/>
        <v>0</v>
      </c>
      <c r="E80" s="183">
        <f t="shared" si="24"/>
        <v>0</v>
      </c>
      <c r="F80" s="335">
        <v>0</v>
      </c>
      <c r="G80" s="336">
        <v>0</v>
      </c>
      <c r="H80" s="337">
        <v>0</v>
      </c>
      <c r="I80" s="182">
        <f t="shared" si="31"/>
        <v>0</v>
      </c>
      <c r="J80" s="335">
        <v>0</v>
      </c>
      <c r="K80" s="336">
        <v>0</v>
      </c>
      <c r="L80" s="336">
        <v>0</v>
      </c>
      <c r="M80" s="338">
        <v>0</v>
      </c>
      <c r="N80" s="182">
        <f t="shared" si="36"/>
        <v>0</v>
      </c>
      <c r="O80" s="339">
        <v>0</v>
      </c>
      <c r="P80" s="337">
        <v>0</v>
      </c>
      <c r="Q80" s="340">
        <v>0</v>
      </c>
    </row>
    <row r="81" spans="1:17">
      <c r="B81" s="288" t="s">
        <v>377</v>
      </c>
      <c r="C81" s="289" t="s">
        <v>378</v>
      </c>
      <c r="D81" s="182">
        <f t="shared" si="22"/>
        <v>0</v>
      </c>
      <c r="E81" s="183">
        <f t="shared" si="24"/>
        <v>0</v>
      </c>
      <c r="F81" s="335">
        <v>0</v>
      </c>
      <c r="G81" s="336">
        <v>0</v>
      </c>
      <c r="H81" s="337">
        <v>0</v>
      </c>
      <c r="I81" s="182">
        <f t="shared" si="31"/>
        <v>0</v>
      </c>
      <c r="J81" s="335">
        <v>0</v>
      </c>
      <c r="K81" s="336">
        <v>0</v>
      </c>
      <c r="L81" s="336">
        <v>0</v>
      </c>
      <c r="M81" s="338">
        <v>0</v>
      </c>
      <c r="N81" s="182">
        <f t="shared" si="36"/>
        <v>0</v>
      </c>
      <c r="O81" s="339">
        <v>0</v>
      </c>
      <c r="P81" s="337">
        <v>0</v>
      </c>
      <c r="Q81" s="340">
        <v>0</v>
      </c>
    </row>
    <row r="82" spans="1:17" ht="15" thickBot="1">
      <c r="B82" s="341" t="s">
        <v>379</v>
      </c>
      <c r="C82" s="342" t="s">
        <v>380</v>
      </c>
      <c r="D82" s="343">
        <f t="shared" si="22"/>
        <v>0.24184</v>
      </c>
      <c r="E82" s="344">
        <f t="shared" si="24"/>
        <v>0</v>
      </c>
      <c r="F82" s="345">
        <v>0</v>
      </c>
      <c r="G82" s="346">
        <v>0</v>
      </c>
      <c r="H82" s="347">
        <v>0</v>
      </c>
      <c r="I82" s="343">
        <f t="shared" si="31"/>
        <v>0</v>
      </c>
      <c r="J82" s="345">
        <v>0</v>
      </c>
      <c r="K82" s="346">
        <v>0</v>
      </c>
      <c r="L82" s="346">
        <v>0</v>
      </c>
      <c r="M82" s="348">
        <v>0</v>
      </c>
      <c r="N82" s="343">
        <f t="shared" si="36"/>
        <v>0.24184</v>
      </c>
      <c r="O82" s="349">
        <v>0.24184</v>
      </c>
      <c r="P82" s="347">
        <v>0</v>
      </c>
      <c r="Q82" s="350">
        <v>0</v>
      </c>
    </row>
    <row r="83" spans="1:17" ht="15" thickBot="1">
      <c r="B83" s="351" t="s">
        <v>381</v>
      </c>
      <c r="C83" s="352" t="s">
        <v>382</v>
      </c>
      <c r="D83" s="353">
        <f t="shared" si="22"/>
        <v>0</v>
      </c>
      <c r="E83" s="354">
        <f t="shared" si="24"/>
        <v>0</v>
      </c>
      <c r="F83" s="355">
        <v>0</v>
      </c>
      <c r="G83" s="356">
        <v>0</v>
      </c>
      <c r="H83" s="357">
        <v>0</v>
      </c>
      <c r="I83" s="353">
        <f t="shared" si="31"/>
        <v>0</v>
      </c>
      <c r="J83" s="355">
        <v>0</v>
      </c>
      <c r="K83" s="356">
        <v>0</v>
      </c>
      <c r="L83" s="356">
        <v>0</v>
      </c>
      <c r="M83" s="358">
        <v>0</v>
      </c>
      <c r="N83" s="353">
        <f t="shared" si="36"/>
        <v>0</v>
      </c>
      <c r="O83" s="359">
        <v>0</v>
      </c>
      <c r="P83" s="357">
        <v>0</v>
      </c>
      <c r="Q83" s="360">
        <v>0</v>
      </c>
    </row>
    <row r="84" spans="1:17">
      <c r="A84" s="361"/>
      <c r="B84" s="268" t="s">
        <v>383</v>
      </c>
      <c r="C84" s="230" t="s">
        <v>384</v>
      </c>
      <c r="D84" s="163">
        <f t="shared" si="22"/>
        <v>103.91659</v>
      </c>
      <c r="E84" s="164">
        <f t="shared" si="24"/>
        <v>62.887530000000005</v>
      </c>
      <c r="F84" s="165">
        <f>SUM(F85:F91)</f>
        <v>5.5455100000000019</v>
      </c>
      <c r="G84" s="166">
        <f>SUM(G85:G91)</f>
        <v>3.0148199999999998</v>
      </c>
      <c r="H84" s="167">
        <f>SUM(H85:H91)</f>
        <v>54.327200000000005</v>
      </c>
      <c r="I84" s="163">
        <f t="shared" si="31"/>
        <v>33.178100000000001</v>
      </c>
      <c r="J84" s="165">
        <f t="shared" ref="J84:Q84" si="37">SUM(J85:J91)</f>
        <v>18.553100000000001</v>
      </c>
      <c r="K84" s="166">
        <f t="shared" si="37"/>
        <v>13.676639999999999</v>
      </c>
      <c r="L84" s="166">
        <f t="shared" si="37"/>
        <v>0.94836000000000009</v>
      </c>
      <c r="M84" s="168">
        <f t="shared" si="37"/>
        <v>7.5438000000000001</v>
      </c>
      <c r="N84" s="163">
        <f t="shared" si="36"/>
        <v>0.27335999999999999</v>
      </c>
      <c r="O84" s="169">
        <f>SUM(O85:O91)</f>
        <v>0.27335999999999999</v>
      </c>
      <c r="P84" s="167">
        <f t="shared" si="37"/>
        <v>0</v>
      </c>
      <c r="Q84" s="163">
        <f t="shared" si="37"/>
        <v>3.3799999999999997E-2</v>
      </c>
    </row>
    <row r="85" spans="1:17">
      <c r="A85" s="361"/>
      <c r="B85" s="362" t="s">
        <v>385</v>
      </c>
      <c r="C85" s="363" t="s">
        <v>386</v>
      </c>
      <c r="D85" s="364">
        <f t="shared" si="22"/>
        <v>0.32611000000000001</v>
      </c>
      <c r="E85" s="365">
        <f t="shared" si="24"/>
        <v>0.14760000000000001</v>
      </c>
      <c r="F85" s="366">
        <v>0</v>
      </c>
      <c r="G85" s="367">
        <v>0.13482</v>
      </c>
      <c r="H85" s="368">
        <v>1.278E-2</v>
      </c>
      <c r="I85" s="364">
        <f t="shared" si="31"/>
        <v>0.17851</v>
      </c>
      <c r="J85" s="366">
        <v>0.14165</v>
      </c>
      <c r="K85" s="367">
        <v>3.6859999999999997E-2</v>
      </c>
      <c r="L85" s="367">
        <v>0</v>
      </c>
      <c r="M85" s="369">
        <v>0</v>
      </c>
      <c r="N85" s="364">
        <f t="shared" si="36"/>
        <v>0</v>
      </c>
      <c r="O85" s="370">
        <v>0</v>
      </c>
      <c r="P85" s="368">
        <v>0</v>
      </c>
      <c r="Q85" s="371">
        <v>0</v>
      </c>
    </row>
    <row r="86" spans="1:17">
      <c r="A86" s="361"/>
      <c r="B86" s="372" t="s">
        <v>387</v>
      </c>
      <c r="C86" s="373" t="s">
        <v>388</v>
      </c>
      <c r="D86" s="364">
        <f t="shared" si="22"/>
        <v>6.2980800000000006</v>
      </c>
      <c r="E86" s="365">
        <f t="shared" si="24"/>
        <v>0.62453999999999998</v>
      </c>
      <c r="F86" s="366">
        <v>0</v>
      </c>
      <c r="G86" s="367">
        <v>0</v>
      </c>
      <c r="H86" s="368">
        <v>0.62453999999999998</v>
      </c>
      <c r="I86" s="364">
        <f t="shared" si="31"/>
        <v>2.1873200000000002</v>
      </c>
      <c r="J86" s="366">
        <v>1.9779599999999999</v>
      </c>
      <c r="K86" s="367">
        <v>0.14936000000000002</v>
      </c>
      <c r="L86" s="367">
        <v>0.06</v>
      </c>
      <c r="M86" s="369">
        <v>3.2868600000000003</v>
      </c>
      <c r="N86" s="364">
        <f t="shared" si="36"/>
        <v>0.19936000000000001</v>
      </c>
      <c r="O86" s="370">
        <v>0.19936000000000001</v>
      </c>
      <c r="P86" s="368">
        <v>0</v>
      </c>
      <c r="Q86" s="371">
        <v>0</v>
      </c>
    </row>
    <row r="87" spans="1:17">
      <c r="A87" s="361"/>
      <c r="B87" s="374" t="s">
        <v>389</v>
      </c>
      <c r="C87" s="375" t="s">
        <v>390</v>
      </c>
      <c r="D87" s="234">
        <f t="shared" si="22"/>
        <v>53.629339999999999</v>
      </c>
      <c r="E87" s="235">
        <f t="shared" si="24"/>
        <v>44.776700000000005</v>
      </c>
      <c r="F87" s="366">
        <v>-9.9999999983992898E-6</v>
      </c>
      <c r="G87" s="367">
        <v>0</v>
      </c>
      <c r="H87" s="368">
        <v>44.776710000000001</v>
      </c>
      <c r="I87" s="234">
        <f t="shared" si="31"/>
        <v>5.139050000000001</v>
      </c>
      <c r="J87" s="366">
        <v>0</v>
      </c>
      <c r="K87" s="367">
        <v>4.6308500000000006</v>
      </c>
      <c r="L87" s="367">
        <v>0.50819999999999999</v>
      </c>
      <c r="M87" s="369">
        <v>3.6797900000000001</v>
      </c>
      <c r="N87" s="364">
        <f t="shared" si="36"/>
        <v>0</v>
      </c>
      <c r="O87" s="278">
        <v>0</v>
      </c>
      <c r="P87" s="368">
        <v>0</v>
      </c>
      <c r="Q87" s="371">
        <v>3.3799999999999997E-2</v>
      </c>
    </row>
    <row r="88" spans="1:17">
      <c r="A88" s="361"/>
      <c r="B88" s="376" t="s">
        <v>391</v>
      </c>
      <c r="C88" s="377" t="s">
        <v>392</v>
      </c>
      <c r="D88" s="242">
        <f t="shared" si="22"/>
        <v>43.663060000000009</v>
      </c>
      <c r="E88" s="243">
        <f t="shared" si="24"/>
        <v>17.33869</v>
      </c>
      <c r="F88" s="366">
        <v>5.5455200000000007</v>
      </c>
      <c r="G88" s="367">
        <v>2.88</v>
      </c>
      <c r="H88" s="368">
        <v>8.9131700000000009</v>
      </c>
      <c r="I88" s="242">
        <f t="shared" si="31"/>
        <v>25.673220000000004</v>
      </c>
      <c r="J88" s="366">
        <v>16.433490000000003</v>
      </c>
      <c r="K88" s="367">
        <v>8.8595699999999997</v>
      </c>
      <c r="L88" s="367">
        <v>0.38016</v>
      </c>
      <c r="M88" s="369">
        <v>0.57714999999999994</v>
      </c>
      <c r="N88" s="378">
        <f t="shared" si="36"/>
        <v>7.3999999999999996E-2</v>
      </c>
      <c r="O88" s="379">
        <v>7.3999999999999996E-2</v>
      </c>
      <c r="P88" s="368">
        <v>0</v>
      </c>
      <c r="Q88" s="371">
        <v>0</v>
      </c>
    </row>
    <row r="89" spans="1:17">
      <c r="A89" s="361"/>
      <c r="B89" s="376" t="s">
        <v>393</v>
      </c>
      <c r="C89" s="241" t="s">
        <v>394</v>
      </c>
      <c r="D89" s="242">
        <f t="shared" si="22"/>
        <v>0</v>
      </c>
      <c r="E89" s="243">
        <f t="shared" si="24"/>
        <v>0</v>
      </c>
      <c r="F89" s="366">
        <v>0</v>
      </c>
      <c r="G89" s="367">
        <v>0</v>
      </c>
      <c r="H89" s="368">
        <v>0</v>
      </c>
      <c r="I89" s="242">
        <f t="shared" si="31"/>
        <v>0</v>
      </c>
      <c r="J89" s="366">
        <v>0</v>
      </c>
      <c r="K89" s="367">
        <v>0</v>
      </c>
      <c r="L89" s="367">
        <v>0</v>
      </c>
      <c r="M89" s="369">
        <v>0</v>
      </c>
      <c r="N89" s="378">
        <f t="shared" si="36"/>
        <v>0</v>
      </c>
      <c r="O89" s="379">
        <v>0</v>
      </c>
      <c r="P89" s="368">
        <v>0</v>
      </c>
      <c r="Q89" s="371">
        <v>0</v>
      </c>
    </row>
    <row r="90" spans="1:17">
      <c r="A90" s="361"/>
      <c r="B90" s="376" t="s">
        <v>395</v>
      </c>
      <c r="C90" s="241" t="s">
        <v>396</v>
      </c>
      <c r="D90" s="242">
        <f t="shared" si="22"/>
        <v>0</v>
      </c>
      <c r="E90" s="243">
        <f t="shared" si="24"/>
        <v>0</v>
      </c>
      <c r="F90" s="366">
        <v>0</v>
      </c>
      <c r="G90" s="367">
        <v>0</v>
      </c>
      <c r="H90" s="368">
        <v>0</v>
      </c>
      <c r="I90" s="242">
        <f t="shared" si="31"/>
        <v>0</v>
      </c>
      <c r="J90" s="366">
        <v>0</v>
      </c>
      <c r="K90" s="367">
        <v>0</v>
      </c>
      <c r="L90" s="367">
        <v>0</v>
      </c>
      <c r="M90" s="369">
        <v>0</v>
      </c>
      <c r="N90" s="378">
        <f t="shared" si="36"/>
        <v>0</v>
      </c>
      <c r="O90" s="379">
        <v>0</v>
      </c>
      <c r="P90" s="368">
        <v>0</v>
      </c>
      <c r="Q90" s="371">
        <v>0</v>
      </c>
    </row>
    <row r="91" spans="1:17" ht="15" thickBot="1">
      <c r="A91" s="361"/>
      <c r="B91" s="376" t="s">
        <v>397</v>
      </c>
      <c r="C91" s="241" t="s">
        <v>398</v>
      </c>
      <c r="D91" s="242">
        <f t="shared" si="22"/>
        <v>0</v>
      </c>
      <c r="E91" s="243">
        <f t="shared" ref="E91:E96" si="38">SUM(F91:H91)</f>
        <v>0</v>
      </c>
      <c r="F91" s="380">
        <v>0</v>
      </c>
      <c r="G91" s="93">
        <v>0</v>
      </c>
      <c r="H91" s="381">
        <v>0</v>
      </c>
      <c r="I91" s="242">
        <f t="shared" si="31"/>
        <v>0</v>
      </c>
      <c r="J91" s="380">
        <v>0</v>
      </c>
      <c r="K91" s="93">
        <v>0</v>
      </c>
      <c r="L91" s="93">
        <v>0</v>
      </c>
      <c r="M91" s="382">
        <v>0</v>
      </c>
      <c r="N91" s="242">
        <f t="shared" si="36"/>
        <v>0</v>
      </c>
      <c r="O91" s="379">
        <v>0</v>
      </c>
      <c r="P91" s="381">
        <v>0</v>
      </c>
      <c r="Q91" s="383">
        <v>0</v>
      </c>
    </row>
    <row r="92" spans="1:17" ht="15.5" thickTop="1" thickBot="1">
      <c r="A92" s="361"/>
      <c r="B92" s="257" t="s">
        <v>123</v>
      </c>
      <c r="C92" s="144" t="s">
        <v>399</v>
      </c>
      <c r="D92" s="384">
        <f>D93+D96+D99+D101+D107+D108+D114+D118+D121+D136+D137</f>
        <v>549.36615418290864</v>
      </c>
      <c r="E92" s="258">
        <f t="shared" si="38"/>
        <v>145.49869588823066</v>
      </c>
      <c r="F92" s="259">
        <f>F93+F96+F99+F101+F107+F108+F114+F118+F121+F136+F137</f>
        <v>9.095528386728386</v>
      </c>
      <c r="G92" s="260">
        <f>G93+G96+G99+G101+G107+G108+G114+G118+G121+G136+G137</f>
        <v>16.925537982744821</v>
      </c>
      <c r="H92" s="261">
        <f>H93+H96+H99+H101+H107+H108+H114+H118+H121+H136+H137</f>
        <v>119.47762951875745</v>
      </c>
      <c r="I92" s="257">
        <f t="shared" si="31"/>
        <v>348.63375180640264</v>
      </c>
      <c r="J92" s="259">
        <f t="shared" ref="J92:Q92" si="39">J93+J96+J99+J101+J107+J108+J114+J118+J121+J136+J137</f>
        <v>174.50901348389945</v>
      </c>
      <c r="K92" s="260">
        <f t="shared" si="39"/>
        <v>114.12911129374197</v>
      </c>
      <c r="L92" s="260">
        <f t="shared" si="39"/>
        <v>59.995627028761206</v>
      </c>
      <c r="M92" s="262">
        <f t="shared" si="39"/>
        <v>52.854815636107027</v>
      </c>
      <c r="N92" s="257">
        <f t="shared" si="36"/>
        <v>0.15366401827439127</v>
      </c>
      <c r="O92" s="263">
        <f>O93+O96+O99+O101+O107+O108+O114+O118+O121+O136+O137</f>
        <v>0.15366401827439127</v>
      </c>
      <c r="P92" s="261">
        <f t="shared" si="39"/>
        <v>0</v>
      </c>
      <c r="Q92" s="257">
        <f t="shared" si="39"/>
        <v>2.2252268338937204</v>
      </c>
    </row>
    <row r="93" spans="1:17" ht="15" thickTop="1">
      <c r="B93" s="152" t="s">
        <v>125</v>
      </c>
      <c r="C93" s="385" t="s">
        <v>289</v>
      </c>
      <c r="D93" s="386">
        <f>D94+D95</f>
        <v>11.15385</v>
      </c>
      <c r="E93" s="387">
        <f t="shared" si="38"/>
        <v>2.9540782896367066</v>
      </c>
      <c r="F93" s="388">
        <f>F94+F95</f>
        <v>0.18466765475787417</v>
      </c>
      <c r="G93" s="389">
        <f>G94+G95</f>
        <v>0.34364132262502545</v>
      </c>
      <c r="H93" s="390">
        <f>H94+H95</f>
        <v>2.4257693122538071</v>
      </c>
      <c r="I93" s="391">
        <f t="shared" si="31"/>
        <v>7.0783548330703194</v>
      </c>
      <c r="J93" s="388">
        <f t="shared" ref="J93:Q93" si="40">J94+J95</f>
        <v>3.5430784099584942</v>
      </c>
      <c r="K93" s="389">
        <f t="shared" si="40"/>
        <v>2.3171776752374744</v>
      </c>
      <c r="L93" s="389">
        <f t="shared" si="40"/>
        <v>1.2180987478743506</v>
      </c>
      <c r="M93" s="392">
        <f t="shared" si="40"/>
        <v>1.0731179576572714</v>
      </c>
      <c r="N93" s="391">
        <f t="shared" si="36"/>
        <v>3.1198598551798852E-3</v>
      </c>
      <c r="O93" s="393">
        <f>O94+O95</f>
        <v>3.1198598551798852E-3</v>
      </c>
      <c r="P93" s="390">
        <f t="shared" si="40"/>
        <v>0</v>
      </c>
      <c r="Q93" s="391">
        <f t="shared" si="40"/>
        <v>4.517905978052271E-2</v>
      </c>
    </row>
    <row r="94" spans="1:17" ht="26">
      <c r="B94" s="180" t="s">
        <v>400</v>
      </c>
      <c r="C94" s="181" t="s">
        <v>256</v>
      </c>
      <c r="D94" s="394">
        <v>0</v>
      </c>
      <c r="E94" s="235">
        <f t="shared" si="38"/>
        <v>0</v>
      </c>
      <c r="F94" s="236">
        <f>IFERROR($D$94*F146/100, 0)</f>
        <v>0</v>
      </c>
      <c r="G94" s="237">
        <f>IFERROR($D$94*G146/100, 0)</f>
        <v>0</v>
      </c>
      <c r="H94" s="238">
        <f>IFERROR($D$94*H146/100, 0)</f>
        <v>0</v>
      </c>
      <c r="I94" s="234">
        <f t="shared" si="31"/>
        <v>0</v>
      </c>
      <c r="J94" s="236">
        <f t="shared" ref="J94:Q94" si="41">IFERROR($D$94*J146/100, 0)</f>
        <v>0</v>
      </c>
      <c r="K94" s="237">
        <f t="shared" si="41"/>
        <v>0</v>
      </c>
      <c r="L94" s="237">
        <f t="shared" si="41"/>
        <v>0</v>
      </c>
      <c r="M94" s="239">
        <f t="shared" si="41"/>
        <v>0</v>
      </c>
      <c r="N94" s="234">
        <f t="shared" si="36"/>
        <v>0</v>
      </c>
      <c r="O94" s="240">
        <f>IFERROR($D$94*O146/100, 0)</f>
        <v>0</v>
      </c>
      <c r="P94" s="238">
        <f t="shared" si="41"/>
        <v>0</v>
      </c>
      <c r="Q94" s="234">
        <f t="shared" si="41"/>
        <v>0</v>
      </c>
    </row>
    <row r="95" spans="1:17" ht="15" thickBot="1">
      <c r="B95" s="180" t="s">
        <v>401</v>
      </c>
      <c r="C95" s="190" t="s">
        <v>292</v>
      </c>
      <c r="D95" s="394">
        <v>11.15385</v>
      </c>
      <c r="E95" s="235">
        <f t="shared" si="38"/>
        <v>2.9540782896367066</v>
      </c>
      <c r="F95" s="236">
        <f>IFERROR($D$95*F147/100, 0)</f>
        <v>0.18466765475787417</v>
      </c>
      <c r="G95" s="237">
        <f>IFERROR($D$95*G147/100, 0)</f>
        <v>0.34364132262502545</v>
      </c>
      <c r="H95" s="238">
        <f>IFERROR($D$95*H147/100, 0)</f>
        <v>2.4257693122538071</v>
      </c>
      <c r="I95" s="234">
        <f t="shared" si="31"/>
        <v>7.0783548330703194</v>
      </c>
      <c r="J95" s="236">
        <f t="shared" ref="J95:Q95" si="42">IFERROR($D$95*J147/100, 0)</f>
        <v>3.5430784099584942</v>
      </c>
      <c r="K95" s="237">
        <f t="shared" si="42"/>
        <v>2.3171776752374744</v>
      </c>
      <c r="L95" s="237">
        <f t="shared" si="42"/>
        <v>1.2180987478743506</v>
      </c>
      <c r="M95" s="239">
        <f t="shared" si="42"/>
        <v>1.0731179576572714</v>
      </c>
      <c r="N95" s="234">
        <f t="shared" si="36"/>
        <v>3.1198598551798852E-3</v>
      </c>
      <c r="O95" s="240">
        <f>IFERROR($D$95*O147/100, 0)</f>
        <v>3.1198598551798852E-3</v>
      </c>
      <c r="P95" s="238">
        <f t="shared" si="42"/>
        <v>0</v>
      </c>
      <c r="Q95" s="234">
        <f t="shared" si="42"/>
        <v>4.517905978052271E-2</v>
      </c>
    </row>
    <row r="96" spans="1:17">
      <c r="B96" s="395" t="s">
        <v>127</v>
      </c>
      <c r="C96" s="269" t="s">
        <v>299</v>
      </c>
      <c r="D96" s="396">
        <f>D97+D98</f>
        <v>26.597850000000001</v>
      </c>
      <c r="E96" s="164">
        <f t="shared" si="38"/>
        <v>7.0443955437820733</v>
      </c>
      <c r="F96" s="165">
        <f>F97+F98</f>
        <v>0.44036476921437195</v>
      </c>
      <c r="G96" s="166">
        <f>G97+G98</f>
        <v>0.81945878355742929</v>
      </c>
      <c r="H96" s="167">
        <f>H97+H98</f>
        <v>5.7845719910102718</v>
      </c>
      <c r="I96" s="163">
        <f t="shared" si="31"/>
        <v>16.879285636509312</v>
      </c>
      <c r="J96" s="165">
        <f t="shared" ref="J96:Q96" si="43">J97+J98</f>
        <v>8.4489452598263846</v>
      </c>
      <c r="K96" s="166">
        <f t="shared" si="43"/>
        <v>5.5256206806900812</v>
      </c>
      <c r="L96" s="166">
        <f t="shared" si="43"/>
        <v>2.9047196959928447</v>
      </c>
      <c r="M96" s="168">
        <f t="shared" si="43"/>
        <v>2.5589935735261324</v>
      </c>
      <c r="N96" s="163">
        <f t="shared" si="36"/>
        <v>7.4397239024279775E-3</v>
      </c>
      <c r="O96" s="169">
        <f>O97+O98</f>
        <v>7.4397239024279775E-3</v>
      </c>
      <c r="P96" s="167">
        <f t="shared" si="43"/>
        <v>0</v>
      </c>
      <c r="Q96" s="163">
        <f t="shared" si="43"/>
        <v>0.10773552228005359</v>
      </c>
    </row>
    <row r="97" spans="2:17" ht="26">
      <c r="B97" s="189" t="s">
        <v>129</v>
      </c>
      <c r="C97" s="181" t="s">
        <v>301</v>
      </c>
      <c r="D97" s="394">
        <v>16.85089</v>
      </c>
      <c r="E97" s="235">
        <f t="shared" si="24"/>
        <v>4.4629296888568772</v>
      </c>
      <c r="F97" s="236">
        <f>IFERROR($D$97*F149/100, 0)</f>
        <v>0.27899015468944927</v>
      </c>
      <c r="G97" s="237">
        <f>IFERROR($D$97*G149/100, 0)</f>
        <v>0.51916263236539983</v>
      </c>
      <c r="H97" s="238">
        <f>IFERROR($D$97*H149/100, 0)</f>
        <v>3.6647769018020284</v>
      </c>
      <c r="I97" s="234">
        <f t="shared" si="31"/>
        <v>10.693758538355484</v>
      </c>
      <c r="J97" s="236">
        <f t="shared" ref="J97:Q97" si="44">IFERROR($D$97*J149/100, 0)</f>
        <v>5.3527727688273989</v>
      </c>
      <c r="K97" s="237">
        <f t="shared" si="44"/>
        <v>3.5007200308308257</v>
      </c>
      <c r="L97" s="237">
        <f t="shared" si="44"/>
        <v>1.8402657386972581</v>
      </c>
      <c r="M97" s="239">
        <f t="shared" si="44"/>
        <v>1.6212332657788417</v>
      </c>
      <c r="N97" s="234">
        <f t="shared" si="36"/>
        <v>4.7133873268021508E-3</v>
      </c>
      <c r="O97" s="240">
        <f>IFERROR($D$97*O149/100, 0)</f>
        <v>4.7133873268021508E-3</v>
      </c>
      <c r="P97" s="238">
        <f t="shared" si="44"/>
        <v>0</v>
      </c>
      <c r="Q97" s="234">
        <f t="shared" si="44"/>
        <v>6.8255119681994311E-2</v>
      </c>
    </row>
    <row r="98" spans="2:17" ht="15" thickBot="1">
      <c r="B98" s="189" t="s">
        <v>131</v>
      </c>
      <c r="C98" s="181" t="s">
        <v>303</v>
      </c>
      <c r="D98" s="394">
        <v>9.7469599999999996</v>
      </c>
      <c r="E98" s="235">
        <f t="shared" si="24"/>
        <v>2.5814658549251956</v>
      </c>
      <c r="F98" s="236">
        <f>IFERROR($D$98*F150/100, 0)</f>
        <v>0.16137461452492269</v>
      </c>
      <c r="G98" s="237">
        <f>IFERROR($D$98*G150/100, 0)</f>
        <v>0.30029615119202946</v>
      </c>
      <c r="H98" s="238">
        <f>IFERROR($D$98*H150/100, 0)</f>
        <v>2.1197950892082433</v>
      </c>
      <c r="I98" s="234">
        <f t="shared" si="31"/>
        <v>6.1855270981538277</v>
      </c>
      <c r="J98" s="236">
        <f t="shared" ref="J98:Q98" si="45">IFERROR($D$98*J150/100, 0)</f>
        <v>3.0961724909989856</v>
      </c>
      <c r="K98" s="237">
        <f t="shared" si="45"/>
        <v>2.0249006498592554</v>
      </c>
      <c r="L98" s="237">
        <f t="shared" si="45"/>
        <v>1.0644539572955865</v>
      </c>
      <c r="M98" s="239">
        <f t="shared" si="45"/>
        <v>0.93776030774729047</v>
      </c>
      <c r="N98" s="234">
        <f t="shared" si="36"/>
        <v>2.7263365756258267E-3</v>
      </c>
      <c r="O98" s="240">
        <f>IFERROR($D$98*O150/100, 0)</f>
        <v>2.7263365756258267E-3</v>
      </c>
      <c r="P98" s="238">
        <f t="shared" si="45"/>
        <v>0</v>
      </c>
      <c r="Q98" s="234">
        <f t="shared" si="45"/>
        <v>3.9480402598059287E-2</v>
      </c>
    </row>
    <row r="99" spans="2:17">
      <c r="B99" s="395" t="s">
        <v>135</v>
      </c>
      <c r="C99" s="269" t="s">
        <v>305</v>
      </c>
      <c r="D99" s="396">
        <f>D100</f>
        <v>7.8605200000000002</v>
      </c>
      <c r="E99" s="164">
        <f t="shared" si="24"/>
        <v>2.0818454145658336</v>
      </c>
      <c r="F99" s="165">
        <f>F100</f>
        <v>0.13014195040971188</v>
      </c>
      <c r="G99" s="166">
        <f>G100</f>
        <v>0.24217642242996501</v>
      </c>
      <c r="H99" s="167">
        <f>H100</f>
        <v>1.7095270417261568</v>
      </c>
      <c r="I99" s="163">
        <f t="shared" si="31"/>
        <v>4.9883717041600795</v>
      </c>
      <c r="J99" s="165">
        <f t="shared" ref="J99:Q99" si="46">J100</f>
        <v>2.4969350227093732</v>
      </c>
      <c r="K99" s="166">
        <f t="shared" si="46"/>
        <v>1.6329986022546183</v>
      </c>
      <c r="L99" s="166">
        <f t="shared" si="46"/>
        <v>0.85843807919608817</v>
      </c>
      <c r="M99" s="168">
        <f t="shared" si="46"/>
        <v>0.75626489225909732</v>
      </c>
      <c r="N99" s="163">
        <f t="shared" si="36"/>
        <v>2.1986776573863363E-3</v>
      </c>
      <c r="O99" s="169">
        <f>O100</f>
        <v>2.1986776573863363E-3</v>
      </c>
      <c r="P99" s="167">
        <f t="shared" si="46"/>
        <v>0</v>
      </c>
      <c r="Q99" s="163">
        <f t="shared" si="46"/>
        <v>3.1839311357602471E-2</v>
      </c>
    </row>
    <row r="100" spans="2:17" ht="15" thickBot="1">
      <c r="B100" s="189" t="s">
        <v>402</v>
      </c>
      <c r="C100" s="181" t="s">
        <v>307</v>
      </c>
      <c r="D100" s="394">
        <v>7.8605200000000002</v>
      </c>
      <c r="E100" s="235">
        <f>IFERROR($D$100*E152/100, 0)</f>
        <v>2.0818454145658341</v>
      </c>
      <c r="F100" s="236">
        <f>IFERROR($D$100*F152/100, 0)</f>
        <v>0.13014195040971188</v>
      </c>
      <c r="G100" s="237">
        <f>IFERROR($D$100*G152/100, 0)</f>
        <v>0.24217642242996501</v>
      </c>
      <c r="H100" s="238">
        <f>IFERROR($D$100*H152/100, 0)</f>
        <v>1.7095270417261568</v>
      </c>
      <c r="I100" s="234">
        <f t="shared" si="31"/>
        <v>4.9883717041600795</v>
      </c>
      <c r="J100" s="236">
        <f t="shared" ref="J100:Q100" si="47">IFERROR($D$100*J152/100, 0)</f>
        <v>2.4969350227093732</v>
      </c>
      <c r="K100" s="237">
        <f t="shared" si="47"/>
        <v>1.6329986022546183</v>
      </c>
      <c r="L100" s="237">
        <f t="shared" si="47"/>
        <v>0.85843807919608817</v>
      </c>
      <c r="M100" s="239">
        <f t="shared" si="47"/>
        <v>0.75626489225909732</v>
      </c>
      <c r="N100" s="234">
        <f t="shared" si="36"/>
        <v>2.1986776573863363E-3</v>
      </c>
      <c r="O100" s="240">
        <f>IFERROR($D$100*O152/100, 0)</f>
        <v>2.1986776573863363E-3</v>
      </c>
      <c r="P100" s="238">
        <f t="shared" si="47"/>
        <v>0</v>
      </c>
      <c r="Q100" s="234">
        <f t="shared" si="47"/>
        <v>3.1839311357602471E-2</v>
      </c>
    </row>
    <row r="101" spans="2:17">
      <c r="B101" s="395" t="s">
        <v>403</v>
      </c>
      <c r="C101" s="269" t="s">
        <v>309</v>
      </c>
      <c r="D101" s="396">
        <f>SUM(D102:D106)</f>
        <v>36.838940000000001</v>
      </c>
      <c r="E101" s="164">
        <f>SUM(F101:H101)</f>
        <v>9.7567308926719711</v>
      </c>
      <c r="F101" s="165">
        <f>SUM(F102:F106)</f>
        <v>0.60992040000233461</v>
      </c>
      <c r="G101" s="166">
        <f t="shared" ref="G101:Q101" si="48">SUM(G102:G106)</f>
        <v>1.1349786903808063</v>
      </c>
      <c r="H101" s="167">
        <f t="shared" si="48"/>
        <v>8.01183180228883</v>
      </c>
      <c r="I101" s="163">
        <f t="shared" si="31"/>
        <v>23.378393020722662</v>
      </c>
      <c r="J101" s="165">
        <f t="shared" si="48"/>
        <v>11.702080712915841</v>
      </c>
      <c r="K101" s="166">
        <f t="shared" si="48"/>
        <v>7.6531753024662166</v>
      </c>
      <c r="L101" s="166">
        <f t="shared" si="48"/>
        <v>4.0231370053406064</v>
      </c>
      <c r="M101" s="168">
        <f t="shared" si="48"/>
        <v>3.5442943965589242</v>
      </c>
      <c r="N101" s="163">
        <f t="shared" si="36"/>
        <v>1.0304274310070555E-2</v>
      </c>
      <c r="O101" s="169">
        <f>SUM(O102:O106)</f>
        <v>1.0304274310070555E-2</v>
      </c>
      <c r="P101" s="167">
        <f t="shared" si="48"/>
        <v>0</v>
      </c>
      <c r="Q101" s="163">
        <f t="shared" si="48"/>
        <v>0.1492174157363681</v>
      </c>
    </row>
    <row r="102" spans="2:17">
      <c r="B102" s="189" t="s">
        <v>404</v>
      </c>
      <c r="C102" s="181" t="s">
        <v>262</v>
      </c>
      <c r="D102" s="394">
        <v>26.506820000000001</v>
      </c>
      <c r="E102" s="235">
        <f>IFERROR($D$102*E154/100, 0)</f>
        <v>7.0202864023909282</v>
      </c>
      <c r="F102" s="236">
        <f>IFERROR($D$102*F154/100, 0)</f>
        <v>0.43885763969294134</v>
      </c>
      <c r="G102" s="237">
        <f>IFERROR($D$102*G154/100, 0)</f>
        <v>0.81665422104327012</v>
      </c>
      <c r="H102" s="238">
        <f>IFERROR($D$102*H154/100, 0)</f>
        <v>5.7647745416547158</v>
      </c>
      <c r="I102" s="234">
        <f t="shared" si="31"/>
        <v>16.821517005906031</v>
      </c>
      <c r="J102" s="236">
        <f t="shared" ref="J102:Q102" si="49">IFERROR($D$102*J154/100, 0)</f>
        <v>8.4200291073177418</v>
      </c>
      <c r="K102" s="237">
        <f t="shared" si="49"/>
        <v>5.506709481079465</v>
      </c>
      <c r="L102" s="237">
        <f t="shared" si="49"/>
        <v>2.8947784175088236</v>
      </c>
      <c r="M102" s="239">
        <f t="shared" si="49"/>
        <v>2.5502355278570996</v>
      </c>
      <c r="N102" s="234">
        <f t="shared" si="36"/>
        <v>7.4142617666975328E-3</v>
      </c>
      <c r="O102" s="240">
        <f>IFERROR($D$102*O154/100, 0)</f>
        <v>7.4142617666975328E-3</v>
      </c>
      <c r="P102" s="238">
        <f t="shared" si="49"/>
        <v>0</v>
      </c>
      <c r="Q102" s="234">
        <f t="shared" si="49"/>
        <v>0.10736680207924215</v>
      </c>
    </row>
    <row r="103" spans="2:17">
      <c r="B103" s="189" t="s">
        <v>405</v>
      </c>
      <c r="C103" s="181" t="s">
        <v>266</v>
      </c>
      <c r="D103" s="394">
        <v>9.6387300000000007</v>
      </c>
      <c r="E103" s="235">
        <f>IFERROR($D$103*E155/100, 0)</f>
        <v>2.552801322652718</v>
      </c>
      <c r="F103" s="236">
        <f>IFERROR($D$103*F155/100, 0)</f>
        <v>0.1595827148423517</v>
      </c>
      <c r="G103" s="237">
        <f>IFERROR($D$103*G155/100, 0)</f>
        <v>0.29696167024171133</v>
      </c>
      <c r="H103" s="238">
        <f>IFERROR($D$103*H155/100, 0)</f>
        <v>2.0962569375686546</v>
      </c>
      <c r="I103" s="234">
        <f t="shared" si="31"/>
        <v>6.1168431599994513</v>
      </c>
      <c r="J103" s="236">
        <f t="shared" ref="J103:Q103" si="50">IFERROR($D$103*J155/100, 0)</f>
        <v>3.0617926691159765</v>
      </c>
      <c r="K103" s="237">
        <f t="shared" si="50"/>
        <v>2.0024162037002204</v>
      </c>
      <c r="L103" s="237">
        <f t="shared" si="50"/>
        <v>1.0526342871832539</v>
      </c>
      <c r="M103" s="239">
        <f t="shared" si="50"/>
        <v>0.92734744075004327</v>
      </c>
      <c r="N103" s="234">
        <f t="shared" si="36"/>
        <v>2.6960634024949244E-3</v>
      </c>
      <c r="O103" s="240">
        <f>IFERROR($D$103*O155/100, 0)</f>
        <v>2.6960634024949244E-3</v>
      </c>
      <c r="P103" s="238">
        <f t="shared" si="50"/>
        <v>0</v>
      </c>
      <c r="Q103" s="234">
        <f t="shared" si="50"/>
        <v>3.9042013195292893E-2</v>
      </c>
    </row>
    <row r="104" spans="2:17">
      <c r="B104" s="189" t="s">
        <v>406</v>
      </c>
      <c r="C104" s="280" t="s">
        <v>313</v>
      </c>
      <c r="D104" s="394">
        <v>0</v>
      </c>
      <c r="E104" s="235">
        <f>IFERROR($D$104*E156/100, 0)</f>
        <v>0</v>
      </c>
      <c r="F104" s="236">
        <f>IFERROR($D$104*F156/100, 0)</f>
        <v>0</v>
      </c>
      <c r="G104" s="237">
        <f>IFERROR($D$104*G156/100, 0)</f>
        <v>0</v>
      </c>
      <c r="H104" s="238">
        <f>IFERROR($D$104*H156/100, 0)</f>
        <v>0</v>
      </c>
      <c r="I104" s="234">
        <f t="shared" si="31"/>
        <v>0</v>
      </c>
      <c r="J104" s="236">
        <f t="shared" ref="J104:Q104" si="51">IFERROR($D$104*J156/100, 0)</f>
        <v>0</v>
      </c>
      <c r="K104" s="237">
        <f t="shared" si="51"/>
        <v>0</v>
      </c>
      <c r="L104" s="237">
        <f t="shared" si="51"/>
        <v>0</v>
      </c>
      <c r="M104" s="239">
        <f t="shared" si="51"/>
        <v>0</v>
      </c>
      <c r="N104" s="234">
        <f t="shared" si="36"/>
        <v>0</v>
      </c>
      <c r="O104" s="240">
        <f>IFERROR($D$104*O156/100, 0)</f>
        <v>0</v>
      </c>
      <c r="P104" s="238">
        <f t="shared" si="51"/>
        <v>0</v>
      </c>
      <c r="Q104" s="234">
        <f t="shared" si="51"/>
        <v>0</v>
      </c>
    </row>
    <row r="105" spans="2:17">
      <c r="B105" s="189" t="s">
        <v>407</v>
      </c>
      <c r="C105" s="281" t="s">
        <v>264</v>
      </c>
      <c r="D105" s="394">
        <v>0</v>
      </c>
      <c r="E105" s="235">
        <f>IFERROR($D$105*E157/100, 0)</f>
        <v>0</v>
      </c>
      <c r="F105" s="236">
        <f>IFERROR($D$105*F157/100, 0)</f>
        <v>0</v>
      </c>
      <c r="G105" s="237">
        <f>IFERROR($D$105*G157/100, 0)</f>
        <v>0</v>
      </c>
      <c r="H105" s="238">
        <f>IFERROR($D$105*H157/100, 0)</f>
        <v>0</v>
      </c>
      <c r="I105" s="234">
        <f t="shared" si="31"/>
        <v>0</v>
      </c>
      <c r="J105" s="236">
        <f t="shared" ref="J105:Q105" si="52">IFERROR($D$105*J157/100, 0)</f>
        <v>0</v>
      </c>
      <c r="K105" s="237">
        <f t="shared" si="52"/>
        <v>0</v>
      </c>
      <c r="L105" s="237">
        <f t="shared" si="52"/>
        <v>0</v>
      </c>
      <c r="M105" s="239">
        <f t="shared" si="52"/>
        <v>0</v>
      </c>
      <c r="N105" s="234">
        <f t="shared" si="36"/>
        <v>0</v>
      </c>
      <c r="O105" s="240">
        <f>IFERROR($D$105*O157/100, 0)</f>
        <v>0</v>
      </c>
      <c r="P105" s="238">
        <f t="shared" si="52"/>
        <v>0</v>
      </c>
      <c r="Q105" s="234">
        <f t="shared" si="52"/>
        <v>0</v>
      </c>
    </row>
    <row r="106" spans="2:17" ht="27" thickBot="1">
      <c r="B106" s="189" t="s">
        <v>408</v>
      </c>
      <c r="C106" s="281" t="s">
        <v>316</v>
      </c>
      <c r="D106" s="394">
        <v>0.69339000000000006</v>
      </c>
      <c r="E106" s="235">
        <f>IFERROR($D$106*E158/100, 0)</f>
        <v>0.1836431676283253</v>
      </c>
      <c r="F106" s="236">
        <f>IFERROR($D$106*F158/100, 0)</f>
        <v>1.1480045467041637E-2</v>
      </c>
      <c r="G106" s="237">
        <f>IFERROR($D$106*G158/100, 0)</f>
        <v>2.1362799095824885E-2</v>
      </c>
      <c r="H106" s="238">
        <f>IFERROR($D$106*H158/100, 0)</f>
        <v>0.15080032306545876</v>
      </c>
      <c r="I106" s="234">
        <f t="shared" si="31"/>
        <v>0.44003285481718235</v>
      </c>
      <c r="J106" s="236">
        <f t="shared" ref="J106:Q106" si="53">IFERROR($D$106*J158/100, 0)</f>
        <v>0.22025893648212233</v>
      </c>
      <c r="K106" s="237">
        <f t="shared" si="53"/>
        <v>0.14404961768653091</v>
      </c>
      <c r="L106" s="237">
        <f t="shared" si="53"/>
        <v>7.5724300648529072E-2</v>
      </c>
      <c r="M106" s="239">
        <f t="shared" si="53"/>
        <v>6.6711427951781255E-2</v>
      </c>
      <c r="N106" s="234">
        <f t="shared" si="36"/>
        <v>1.9394914087809864E-4</v>
      </c>
      <c r="O106" s="240">
        <f>IFERROR($D$106*O158/100, 0)</f>
        <v>1.9394914087809864E-4</v>
      </c>
      <c r="P106" s="238">
        <f t="shared" si="53"/>
        <v>0</v>
      </c>
      <c r="Q106" s="234">
        <f t="shared" si="53"/>
        <v>2.8086004618330567E-3</v>
      </c>
    </row>
    <row r="107" spans="2:17" ht="15" thickBot="1">
      <c r="B107" s="395" t="s">
        <v>409</v>
      </c>
      <c r="C107" s="269" t="s">
        <v>318</v>
      </c>
      <c r="D107" s="397">
        <v>4.9560641829085741</v>
      </c>
      <c r="E107" s="164">
        <f>IFERROR($D$107*E159/100, 0)</f>
        <v>1.3126052084953899</v>
      </c>
      <c r="F107" s="165">
        <f>IFERROR($D$107*F159/100, 0)</f>
        <v>8.2054604417956686E-2</v>
      </c>
      <c r="G107" s="166">
        <f>IFERROR($D$107*G159/100, 0)</f>
        <v>0.15269242914591988</v>
      </c>
      <c r="H107" s="167">
        <f>IFERROR($D$107*H159/100, 0)</f>
        <v>1.077858174931513</v>
      </c>
      <c r="I107" s="163">
        <f t="shared" si="31"/>
        <v>3.1451723720596569</v>
      </c>
      <c r="J107" s="165">
        <f t="shared" ref="J107:Q107" si="54">IFERROR($D$107*J159/100, 0)</f>
        <v>1.5743195403230232</v>
      </c>
      <c r="K107" s="166">
        <f t="shared" si="54"/>
        <v>1.0296069322861436</v>
      </c>
      <c r="L107" s="166">
        <f t="shared" si="54"/>
        <v>0.54124589945049018</v>
      </c>
      <c r="M107" s="168">
        <f t="shared" si="54"/>
        <v>0.476825622899824</v>
      </c>
      <c r="N107" s="163">
        <f t="shared" si="36"/>
        <v>1.3862680315721797E-3</v>
      </c>
      <c r="O107" s="169">
        <f>IFERROR($D$107*O159/100, 0)</f>
        <v>1.3862680315721797E-3</v>
      </c>
      <c r="P107" s="167">
        <f t="shared" si="54"/>
        <v>0</v>
      </c>
      <c r="Q107" s="163">
        <f t="shared" si="54"/>
        <v>2.0074711422130825E-2</v>
      </c>
    </row>
    <row r="108" spans="2:17">
      <c r="B108" s="395" t="s">
        <v>410</v>
      </c>
      <c r="C108" s="269" t="s">
        <v>320</v>
      </c>
      <c r="D108" s="396">
        <f>SUM(D109:D113)</f>
        <v>439.81914999999992</v>
      </c>
      <c r="E108" s="164">
        <f t="shared" ref="E108:E143" si="55">SUM(F108:H108)</f>
        <v>116.48535728752583</v>
      </c>
      <c r="F108" s="165">
        <f>SUM(F109:F113)</f>
        <v>7.2818238498905457</v>
      </c>
      <c r="G108" s="166">
        <f>SUM(G109:G113)</f>
        <v>13.550481172134683</v>
      </c>
      <c r="H108" s="167">
        <f>SUM(H109:H113)</f>
        <v>95.653052265500605</v>
      </c>
      <c r="I108" s="163">
        <f t="shared" si="31"/>
        <v>279.11402843676211</v>
      </c>
      <c r="J108" s="165">
        <f t="shared" ref="J108:Q108" si="56">SUM(J109:J113)</f>
        <v>139.7108383787926</v>
      </c>
      <c r="K108" s="166">
        <f t="shared" si="56"/>
        <v>91.371061608495893</v>
      </c>
      <c r="L108" s="166">
        <f t="shared" si="56"/>
        <v>48.032128449473596</v>
      </c>
      <c r="M108" s="168">
        <f t="shared" si="56"/>
        <v>42.315238952160641</v>
      </c>
      <c r="N108" s="163">
        <f t="shared" si="36"/>
        <v>0.12302246395857394</v>
      </c>
      <c r="O108" s="169">
        <f>SUM(O109:O113)</f>
        <v>0.12302246395857394</v>
      </c>
      <c r="P108" s="167">
        <f t="shared" si="56"/>
        <v>0</v>
      </c>
      <c r="Q108" s="163">
        <f t="shared" si="56"/>
        <v>1.7815028595927576</v>
      </c>
    </row>
    <row r="109" spans="2:17">
      <c r="B109" s="290" t="s">
        <v>411</v>
      </c>
      <c r="C109" s="291" t="s">
        <v>322</v>
      </c>
      <c r="D109" s="394">
        <v>428.19442999999995</v>
      </c>
      <c r="E109" s="235">
        <f t="shared" si="55"/>
        <v>113.4065698755465</v>
      </c>
      <c r="F109" s="236">
        <f>IFERROR($D$109*F161/100, 0)</f>
        <v>7.0893602808433593</v>
      </c>
      <c r="G109" s="237">
        <f>IFERROR($D$109*G161/100, 0)</f>
        <v>13.192332716135581</v>
      </c>
      <c r="H109" s="238">
        <f>IFERROR($D$109*H161/100, 0)</f>
        <v>93.124876878567562</v>
      </c>
      <c r="I109" s="234">
        <f t="shared" si="31"/>
        <v>271.73685436726237</v>
      </c>
      <c r="J109" s="236">
        <f t="shared" ref="J109:Q109" si="57">IFERROR($D$109*J161/100, 0)</f>
        <v>136.01818566660688</v>
      </c>
      <c r="K109" s="237">
        <f t="shared" si="57"/>
        <v>88.956062154057605</v>
      </c>
      <c r="L109" s="237">
        <f t="shared" si="57"/>
        <v>46.762606546597908</v>
      </c>
      <c r="M109" s="239">
        <f t="shared" si="57"/>
        <v>41.196818336432649</v>
      </c>
      <c r="N109" s="234">
        <f t="shared" si="36"/>
        <v>0.11977089636032699</v>
      </c>
      <c r="O109" s="240">
        <f>IFERROR($D$109*O161/100, 0)</f>
        <v>0.11977089636032699</v>
      </c>
      <c r="P109" s="238">
        <f t="shared" si="57"/>
        <v>0</v>
      </c>
      <c r="Q109" s="234">
        <f t="shared" si="57"/>
        <v>1.7344165243980187</v>
      </c>
    </row>
    <row r="110" spans="2:17">
      <c r="B110" s="290" t="s">
        <v>412</v>
      </c>
      <c r="C110" s="291" t="s">
        <v>324</v>
      </c>
      <c r="D110" s="394">
        <v>7.5481100000000003</v>
      </c>
      <c r="E110" s="235">
        <f t="shared" si="55"/>
        <v>1.9991041549590252</v>
      </c>
      <c r="F110" s="236">
        <f>IFERROR($D$110*F162/100, 0)</f>
        <v>0.12496956401192928</v>
      </c>
      <c r="G110" s="237">
        <f>IFERROR($D$110*G162/100, 0)</f>
        <v>0.23255131669505874</v>
      </c>
      <c r="H110" s="238">
        <f>IFERROR($D$110*H162/100, 0)</f>
        <v>1.6415832742520371</v>
      </c>
      <c r="I110" s="234">
        <f t="shared" si="31"/>
        <v>4.7901129115997083</v>
      </c>
      <c r="J110" s="236">
        <f t="shared" ref="J110:Q110" si="58">IFERROR($D$110*J162/100, 0)</f>
        <v>2.3976963628694854</v>
      </c>
      <c r="K110" s="237">
        <f t="shared" si="58"/>
        <v>1.5680963956155707</v>
      </c>
      <c r="L110" s="237">
        <f t="shared" si="58"/>
        <v>0.82432015311465223</v>
      </c>
      <c r="M110" s="239">
        <f t="shared" si="58"/>
        <v>0.7262077567272669</v>
      </c>
      <c r="N110" s="234">
        <f t="shared" si="36"/>
        <v>2.1112929949283739E-3</v>
      </c>
      <c r="O110" s="240">
        <f>IFERROR($D$110*O162/100, 0)</f>
        <v>2.1112929949283739E-3</v>
      </c>
      <c r="P110" s="238">
        <f t="shared" si="58"/>
        <v>0</v>
      </c>
      <c r="Q110" s="234">
        <f t="shared" si="58"/>
        <v>3.0573883719071104E-2</v>
      </c>
    </row>
    <row r="111" spans="2:17">
      <c r="B111" s="290" t="s">
        <v>413</v>
      </c>
      <c r="C111" s="291" t="s">
        <v>326</v>
      </c>
      <c r="D111" s="394">
        <v>2.5011099999999997</v>
      </c>
      <c r="E111" s="235">
        <f t="shared" si="55"/>
        <v>0.66241474925637889</v>
      </c>
      <c r="F111" s="236">
        <f t="shared" ref="F111:H111" si="59">IFERROR($D$111*F163/100, 0)</f>
        <v>4.1409389402893758E-2</v>
      </c>
      <c r="G111" s="237">
        <f t="shared" si="59"/>
        <v>7.7057226736120463E-2</v>
      </c>
      <c r="H111" s="238">
        <f t="shared" si="59"/>
        <v>0.54394813311736467</v>
      </c>
      <c r="I111" s="234">
        <f t="shared" si="31"/>
        <v>1.5872316784375353</v>
      </c>
      <c r="J111" s="236">
        <f t="shared" ref="J111:Q111" si="60">IFERROR($D$111*J163/100, 0)</f>
        <v>0.79449058772811965</v>
      </c>
      <c r="K111" s="237">
        <f t="shared" si="60"/>
        <v>0.51959782992537995</v>
      </c>
      <c r="L111" s="237">
        <f t="shared" si="60"/>
        <v>0.27314326078403567</v>
      </c>
      <c r="M111" s="239">
        <f t="shared" si="60"/>
        <v>0.24063314954712292</v>
      </c>
      <c r="N111" s="234">
        <f t="shared" si="36"/>
        <v>6.9958917166619246E-4</v>
      </c>
      <c r="O111" s="240">
        <f>IFERROR($D$111*O163/100, 0)</f>
        <v>6.9958917166619246E-4</v>
      </c>
      <c r="P111" s="238">
        <f t="shared" si="60"/>
        <v>0</v>
      </c>
      <c r="Q111" s="234">
        <f t="shared" si="60"/>
        <v>1.0130833587296146E-2</v>
      </c>
    </row>
    <row r="112" spans="2:17">
      <c r="B112" s="290" t="s">
        <v>414</v>
      </c>
      <c r="C112" s="303" t="s">
        <v>328</v>
      </c>
      <c r="D112" s="394">
        <v>0</v>
      </c>
      <c r="E112" s="235">
        <f t="shared" ref="E112" si="61">SUM(F112:H112)</f>
        <v>0</v>
      </c>
      <c r="F112" s="236">
        <f>IFERROR($D$112*F164/100, 0)</f>
        <v>0</v>
      </c>
      <c r="G112" s="237">
        <f>IFERROR($D$112*G164/100, 0)</f>
        <v>0</v>
      </c>
      <c r="H112" s="238">
        <f>IFERROR($D$112*H164/100, 0)</f>
        <v>0</v>
      </c>
      <c r="I112" s="234">
        <f t="shared" ref="I112" si="62">SUM(J112:L112)</f>
        <v>0</v>
      </c>
      <c r="J112" s="236">
        <f>IFERROR($D$112*J164/100, 0)</f>
        <v>0</v>
      </c>
      <c r="K112" s="237">
        <f>IFERROR($D$112*K164/100, 0)</f>
        <v>0</v>
      </c>
      <c r="L112" s="237">
        <f>IFERROR($D$112*L164/100, 0)</f>
        <v>0</v>
      </c>
      <c r="M112" s="239">
        <f>IFERROR($D$112*M164/100, 0)</f>
        <v>0</v>
      </c>
      <c r="N112" s="234">
        <f t="shared" si="36"/>
        <v>0</v>
      </c>
      <c r="O112" s="240">
        <f>IFERROR($D$112*O164/100, 0)</f>
        <v>0</v>
      </c>
      <c r="P112" s="238">
        <f>IFERROR($D$112*P164/100, 0)</f>
        <v>0</v>
      </c>
      <c r="Q112" s="234">
        <f>IFERROR($D$112*Q164/100, 0)</f>
        <v>0</v>
      </c>
    </row>
    <row r="113" spans="1:17" ht="15" thickBot="1">
      <c r="B113" s="290" t="s">
        <v>415</v>
      </c>
      <c r="C113" s="280" t="s">
        <v>330</v>
      </c>
      <c r="D113" s="398">
        <v>1.5754999999999999</v>
      </c>
      <c r="E113" s="243">
        <f t="shared" si="55"/>
        <v>0.41726850776392288</v>
      </c>
      <c r="F113" s="244">
        <f>IFERROR($D$113*F165/100, 0)</f>
        <v>2.6084615632362879E-2</v>
      </c>
      <c r="G113" s="245">
        <f>IFERROR($D$113*G165/100, 0)</f>
        <v>4.8539912567922963E-2</v>
      </c>
      <c r="H113" s="246">
        <f>IFERROR($D$113*H165/100, 0)</f>
        <v>0.34264397956363701</v>
      </c>
      <c r="I113" s="242">
        <f t="shared" si="31"/>
        <v>0.99982947946245337</v>
      </c>
      <c r="J113" s="244">
        <f t="shared" ref="J113:Q113" si="63">IFERROR($D$113*J165/100, 0)</f>
        <v>0.50046576158811584</v>
      </c>
      <c r="K113" s="245">
        <f t="shared" si="63"/>
        <v>0.32730522889734404</v>
      </c>
      <c r="L113" s="245">
        <f t="shared" si="63"/>
        <v>0.1720584889769935</v>
      </c>
      <c r="M113" s="247">
        <f t="shared" si="63"/>
        <v>0.1515797094535995</v>
      </c>
      <c r="N113" s="242">
        <f t="shared" si="36"/>
        <v>4.406854316523809E-4</v>
      </c>
      <c r="O113" s="248">
        <f>IFERROR($D$113*O165/100, 0)</f>
        <v>4.406854316523809E-4</v>
      </c>
      <c r="P113" s="246">
        <f t="shared" si="63"/>
        <v>0</v>
      </c>
      <c r="Q113" s="242">
        <f t="shared" si="63"/>
        <v>6.3816178883715959E-3</v>
      </c>
    </row>
    <row r="114" spans="1:17">
      <c r="B114" s="395" t="s">
        <v>416</v>
      </c>
      <c r="C114" s="269" t="s">
        <v>332</v>
      </c>
      <c r="D114" s="396">
        <f>SUM(D115:D117)</f>
        <v>1.302</v>
      </c>
      <c r="E114" s="164">
        <f t="shared" si="55"/>
        <v>0.3448324957845938</v>
      </c>
      <c r="F114" s="165">
        <f>SUM(F115:F117)</f>
        <v>2.1556438942136762E-2</v>
      </c>
      <c r="G114" s="166">
        <f>SUM(G115:G117)</f>
        <v>4.0113593248769092E-2</v>
      </c>
      <c r="H114" s="167">
        <f>SUM(H115:H117)</f>
        <v>0.28316246359368796</v>
      </c>
      <c r="I114" s="163">
        <f t="shared" si="31"/>
        <v>0.82626339718191966</v>
      </c>
      <c r="J114" s="165">
        <f t="shared" ref="J114:Q114" si="64">SUM(J115:J117)</f>
        <v>0.41358706543175305</v>
      </c>
      <c r="K114" s="166">
        <f t="shared" si="64"/>
        <v>0.2704864538396331</v>
      </c>
      <c r="L114" s="166">
        <f t="shared" si="64"/>
        <v>0.1421898779105335</v>
      </c>
      <c r="M114" s="168">
        <f t="shared" si="64"/>
        <v>0.12526612612414251</v>
      </c>
      <c r="N114" s="163">
        <f t="shared" si="36"/>
        <v>3.6418434275556962E-4</v>
      </c>
      <c r="O114" s="169">
        <f>SUM(O115:O117)</f>
        <v>3.6418434275556962E-4</v>
      </c>
      <c r="P114" s="167">
        <f t="shared" si="64"/>
        <v>0</v>
      </c>
      <c r="Q114" s="163">
        <f t="shared" si="64"/>
        <v>5.2737965665882684E-3</v>
      </c>
    </row>
    <row r="115" spans="1:17">
      <c r="B115" s="290" t="s">
        <v>417</v>
      </c>
      <c r="C115" s="291" t="s">
        <v>338</v>
      </c>
      <c r="D115" s="394">
        <v>0.52967999999999993</v>
      </c>
      <c r="E115" s="235">
        <f t="shared" si="55"/>
        <v>0.14028485128047899</v>
      </c>
      <c r="F115" s="236">
        <f>IFERROR($D$115*F167/100, 0)</f>
        <v>8.7695964507457751E-3</v>
      </c>
      <c r="G115" s="237">
        <f>IFERROR($D$115*G167/100, 0)</f>
        <v>1.6319023096780346E-2</v>
      </c>
      <c r="H115" s="238">
        <f>IFERROR($D$115*H167/100, 0)</f>
        <v>0.11519623173295286</v>
      </c>
      <c r="I115" s="234">
        <f t="shared" si="31"/>
        <v>0.33614070370147398</v>
      </c>
      <c r="J115" s="236">
        <f t="shared" ref="J115:Q115" si="65">IFERROR($D$115*J167/100, 0)</f>
        <v>0.16825560431481637</v>
      </c>
      <c r="K115" s="237">
        <f t="shared" si="65"/>
        <v>0.11003937393992076</v>
      </c>
      <c r="L115" s="237">
        <f t="shared" si="65"/>
        <v>5.7845725446736856E-2</v>
      </c>
      <c r="M115" s="239">
        <f t="shared" si="65"/>
        <v>5.0960800065618893E-2</v>
      </c>
      <c r="N115" s="234">
        <f t="shared" si="36"/>
        <v>1.4815757501595244E-4</v>
      </c>
      <c r="O115" s="240">
        <f>IFERROR($D$115*O167/100, 0)</f>
        <v>1.4815757501595244E-4</v>
      </c>
      <c r="P115" s="238">
        <f t="shared" si="65"/>
        <v>0</v>
      </c>
      <c r="Q115" s="234">
        <f t="shared" si="65"/>
        <v>2.1454873774120384E-3</v>
      </c>
    </row>
    <row r="116" spans="1:17" s="128" customFormat="1">
      <c r="A116" s="129"/>
      <c r="B116" s="302" t="s">
        <v>418</v>
      </c>
      <c r="C116" s="291" t="s">
        <v>340</v>
      </c>
      <c r="D116" s="399">
        <v>0</v>
      </c>
      <c r="E116" s="294">
        <f t="shared" si="55"/>
        <v>0</v>
      </c>
      <c r="F116" s="400">
        <f>IFERROR($D$116*F168/100, 0)</f>
        <v>0</v>
      </c>
      <c r="G116" s="401">
        <f>IFERROR($D$116*G168/100, 0)</f>
        <v>0</v>
      </c>
      <c r="H116" s="402">
        <f>IFERROR($D$116*H168/100, 0)</f>
        <v>0</v>
      </c>
      <c r="I116" s="298">
        <f t="shared" si="31"/>
        <v>0</v>
      </c>
      <c r="J116" s="400">
        <f t="shared" ref="J116:Q116" si="66">IFERROR($D$116*J168/100, 0)</f>
        <v>0</v>
      </c>
      <c r="K116" s="401">
        <f t="shared" si="66"/>
        <v>0</v>
      </c>
      <c r="L116" s="401">
        <f t="shared" si="66"/>
        <v>0</v>
      </c>
      <c r="M116" s="403">
        <f t="shared" si="66"/>
        <v>0</v>
      </c>
      <c r="N116" s="298">
        <f t="shared" si="36"/>
        <v>0</v>
      </c>
      <c r="O116" s="404">
        <f>IFERROR($D$116*O168/100, 0)</f>
        <v>0</v>
      </c>
      <c r="P116" s="402">
        <f t="shared" si="66"/>
        <v>0</v>
      </c>
      <c r="Q116" s="298">
        <f t="shared" si="66"/>
        <v>0</v>
      </c>
    </row>
    <row r="117" spans="1:17" ht="15" thickBot="1">
      <c r="B117" s="302" t="s">
        <v>419</v>
      </c>
      <c r="C117" s="303" t="s">
        <v>344</v>
      </c>
      <c r="D117" s="398">
        <v>0.77232000000000001</v>
      </c>
      <c r="E117" s="243">
        <f t="shared" si="55"/>
        <v>0.20454764450411483</v>
      </c>
      <c r="F117" s="244">
        <f>IFERROR($D$117*F169/100, 0)</f>
        <v>1.2786842491390987E-2</v>
      </c>
      <c r="G117" s="245">
        <f>IFERROR($D$117*G169/100, 0)</f>
        <v>2.3794570151988746E-2</v>
      </c>
      <c r="H117" s="246">
        <f>IFERROR($D$117*H169/100, 0)</f>
        <v>0.16796623186073512</v>
      </c>
      <c r="I117" s="242">
        <f t="shared" si="31"/>
        <v>0.49012269348044568</v>
      </c>
      <c r="J117" s="244">
        <f t="shared" ref="J117:Q117" si="67">IFERROR($D$117*J169/100, 0)</f>
        <v>0.24533146111693666</v>
      </c>
      <c r="K117" s="245">
        <f t="shared" si="67"/>
        <v>0.16044707989971232</v>
      </c>
      <c r="L117" s="245">
        <f t="shared" si="67"/>
        <v>8.4344152463796646E-2</v>
      </c>
      <c r="M117" s="247">
        <f t="shared" si="67"/>
        <v>7.4305326058523621E-2</v>
      </c>
      <c r="N117" s="242">
        <f t="shared" si="36"/>
        <v>2.1602676773961715E-4</v>
      </c>
      <c r="O117" s="240">
        <f>IFERROR($D$117*O169/100, 0)</f>
        <v>2.1602676773961715E-4</v>
      </c>
      <c r="P117" s="246">
        <f t="shared" si="67"/>
        <v>0</v>
      </c>
      <c r="Q117" s="242">
        <f t="shared" si="67"/>
        <v>3.1283091891762304E-3</v>
      </c>
    </row>
    <row r="118" spans="1:17">
      <c r="B118" s="395" t="s">
        <v>420</v>
      </c>
      <c r="C118" s="269" t="s">
        <v>346</v>
      </c>
      <c r="D118" s="396">
        <f>SUM(D119:D120)</f>
        <v>0</v>
      </c>
      <c r="E118" s="164">
        <f t="shared" si="55"/>
        <v>0</v>
      </c>
      <c r="F118" s="165">
        <f>F119+F120</f>
        <v>0</v>
      </c>
      <c r="G118" s="166">
        <f>G119+G120</f>
        <v>0</v>
      </c>
      <c r="H118" s="167">
        <f>H119+H120</f>
        <v>0</v>
      </c>
      <c r="I118" s="163">
        <f t="shared" si="31"/>
        <v>0</v>
      </c>
      <c r="J118" s="165">
        <f t="shared" ref="J118:Q118" si="68">J119+J120</f>
        <v>0</v>
      </c>
      <c r="K118" s="166">
        <f t="shared" si="68"/>
        <v>0</v>
      </c>
      <c r="L118" s="166">
        <f t="shared" si="68"/>
        <v>0</v>
      </c>
      <c r="M118" s="168">
        <f t="shared" si="68"/>
        <v>0</v>
      </c>
      <c r="N118" s="163">
        <f t="shared" si="36"/>
        <v>0</v>
      </c>
      <c r="O118" s="169">
        <f>O119+O120</f>
        <v>0</v>
      </c>
      <c r="P118" s="167">
        <f t="shared" si="68"/>
        <v>0</v>
      </c>
      <c r="Q118" s="163">
        <f t="shared" si="68"/>
        <v>0</v>
      </c>
    </row>
    <row r="119" spans="1:17">
      <c r="B119" s="290" t="s">
        <v>421</v>
      </c>
      <c r="C119" s="289" t="s">
        <v>348</v>
      </c>
      <c r="D119" s="405">
        <v>0</v>
      </c>
      <c r="E119" s="235">
        <f t="shared" si="55"/>
        <v>0</v>
      </c>
      <c r="F119" s="236">
        <f>IFERROR($D$119*F171/100, 0)</f>
        <v>0</v>
      </c>
      <c r="G119" s="237">
        <f>IFERROR($D$119*G171/100, 0)</f>
        <v>0</v>
      </c>
      <c r="H119" s="238">
        <f>IFERROR($D$119*H171/100, 0)</f>
        <v>0</v>
      </c>
      <c r="I119" s="234">
        <f t="shared" si="31"/>
        <v>0</v>
      </c>
      <c r="J119" s="236">
        <f t="shared" ref="J119:Q119" si="69">IFERROR($D$119*J171/100, 0)</f>
        <v>0</v>
      </c>
      <c r="K119" s="237">
        <f t="shared" si="69"/>
        <v>0</v>
      </c>
      <c r="L119" s="237">
        <f t="shared" si="69"/>
        <v>0</v>
      </c>
      <c r="M119" s="239">
        <f t="shared" si="69"/>
        <v>0</v>
      </c>
      <c r="N119" s="234">
        <f t="shared" si="36"/>
        <v>0</v>
      </c>
      <c r="O119" s="240">
        <f>IFERROR($D$119*O171/100, 0)</f>
        <v>0</v>
      </c>
      <c r="P119" s="238">
        <f t="shared" si="69"/>
        <v>0</v>
      </c>
      <c r="Q119" s="234">
        <f t="shared" si="69"/>
        <v>0</v>
      </c>
    </row>
    <row r="120" spans="1:17" ht="15" thickBot="1">
      <c r="B120" s="302" t="s">
        <v>422</v>
      </c>
      <c r="C120" s="280" t="s">
        <v>350</v>
      </c>
      <c r="D120" s="406">
        <v>0</v>
      </c>
      <c r="E120" s="243">
        <f t="shared" si="55"/>
        <v>0</v>
      </c>
      <c r="F120" s="244">
        <f>IFERROR($D$120*F172/100, 0)</f>
        <v>0</v>
      </c>
      <c r="G120" s="245">
        <f>IFERROR($D$120*G172/100, 0)</f>
        <v>0</v>
      </c>
      <c r="H120" s="246">
        <f>IFERROR($D$120*H172/100, 0)</f>
        <v>0</v>
      </c>
      <c r="I120" s="242">
        <f t="shared" ref="I120:I123" si="70">SUM(J120:L120)</f>
        <v>0</v>
      </c>
      <c r="J120" s="244">
        <f t="shared" ref="J120:Q120" si="71">IFERROR($D$120*J172/100, 0)</f>
        <v>0</v>
      </c>
      <c r="K120" s="245">
        <f t="shared" si="71"/>
        <v>0</v>
      </c>
      <c r="L120" s="245">
        <f t="shared" si="71"/>
        <v>0</v>
      </c>
      <c r="M120" s="247">
        <f t="shared" si="71"/>
        <v>0</v>
      </c>
      <c r="N120" s="242">
        <f t="shared" si="36"/>
        <v>0</v>
      </c>
      <c r="O120" s="248">
        <f>IFERROR($D$120*O172/100, 0)</f>
        <v>0</v>
      </c>
      <c r="P120" s="246">
        <f t="shared" si="71"/>
        <v>0</v>
      </c>
      <c r="Q120" s="242">
        <f t="shared" si="71"/>
        <v>0</v>
      </c>
    </row>
    <row r="121" spans="1:17">
      <c r="B121" s="395" t="s">
        <v>423</v>
      </c>
      <c r="C121" s="269" t="s">
        <v>352</v>
      </c>
      <c r="D121" s="396">
        <f>SUM(D122:D135)</f>
        <v>7.0333999999999994</v>
      </c>
      <c r="E121" s="164">
        <f t="shared" si="55"/>
        <v>1.8627840828351478</v>
      </c>
      <c r="F121" s="165">
        <f>SUM(F122:F135)</f>
        <v>0.11644781693980391</v>
      </c>
      <c r="G121" s="166">
        <f t="shared" ref="G121:Q121" si="72">SUM(G122:G135)</f>
        <v>0.21669350749300503</v>
      </c>
      <c r="H121" s="167">
        <f t="shared" si="72"/>
        <v>1.5296427584023389</v>
      </c>
      <c r="I121" s="163">
        <f t="shared" si="70"/>
        <v>4.4634723331331134</v>
      </c>
      <c r="J121" s="165">
        <f t="shared" si="72"/>
        <v>2.2341960568415451</v>
      </c>
      <c r="K121" s="166">
        <f t="shared" si="72"/>
        <v>1.4611669926541289</v>
      </c>
      <c r="L121" s="166">
        <f t="shared" si="72"/>
        <v>0.76810928363743958</v>
      </c>
      <c r="M121" s="168">
        <f t="shared" si="72"/>
        <v>0.67668722848044849</v>
      </c>
      <c r="N121" s="163">
        <f t="shared" si="36"/>
        <v>1.9673227007196798E-3</v>
      </c>
      <c r="O121" s="169">
        <f>SUM(O122:O135)</f>
        <v>1.9673227007196798E-3</v>
      </c>
      <c r="P121" s="167">
        <f t="shared" si="72"/>
        <v>0</v>
      </c>
      <c r="Q121" s="163">
        <f t="shared" si="72"/>
        <v>2.8489032850569838E-2</v>
      </c>
    </row>
    <row r="122" spans="1:17">
      <c r="B122" s="290" t="s">
        <v>424</v>
      </c>
      <c r="C122" s="289" t="s">
        <v>354</v>
      </c>
      <c r="D122" s="394">
        <v>0</v>
      </c>
      <c r="E122" s="235">
        <f t="shared" si="55"/>
        <v>0</v>
      </c>
      <c r="F122" s="236">
        <f>IFERROR($D$122*F174/100, 0)</f>
        <v>0</v>
      </c>
      <c r="G122" s="237">
        <f>IFERROR($D$122*G174/100, 0)</f>
        <v>0</v>
      </c>
      <c r="H122" s="238">
        <f>IFERROR($D$122*H174/100, 0)</f>
        <v>0</v>
      </c>
      <c r="I122" s="234">
        <f t="shared" si="70"/>
        <v>0</v>
      </c>
      <c r="J122" s="236">
        <f t="shared" ref="J122:Q122" si="73">IFERROR($D$122*J174/100, 0)</f>
        <v>0</v>
      </c>
      <c r="K122" s="237">
        <f t="shared" si="73"/>
        <v>0</v>
      </c>
      <c r="L122" s="237">
        <f t="shared" si="73"/>
        <v>0</v>
      </c>
      <c r="M122" s="239">
        <f t="shared" si="73"/>
        <v>0</v>
      </c>
      <c r="N122" s="234">
        <f t="shared" si="36"/>
        <v>0</v>
      </c>
      <c r="O122" s="240">
        <f>IFERROR($D$122*O174/100, 0)</f>
        <v>0</v>
      </c>
      <c r="P122" s="238">
        <f t="shared" si="73"/>
        <v>0</v>
      </c>
      <c r="Q122" s="234">
        <f t="shared" si="73"/>
        <v>0</v>
      </c>
    </row>
    <row r="123" spans="1:17">
      <c r="B123" s="290" t="s">
        <v>425</v>
      </c>
      <c r="C123" s="289" t="s">
        <v>356</v>
      </c>
      <c r="D123" s="394">
        <v>0</v>
      </c>
      <c r="E123" s="235">
        <f t="shared" si="55"/>
        <v>0</v>
      </c>
      <c r="F123" s="236">
        <f>IFERROR($D$123*F175/100, 0)</f>
        <v>0</v>
      </c>
      <c r="G123" s="237">
        <f>IFERROR($D$123*G175/100, 0)</f>
        <v>0</v>
      </c>
      <c r="H123" s="238">
        <f>IFERROR($D$123*H175/100, 0)</f>
        <v>0</v>
      </c>
      <c r="I123" s="234">
        <f t="shared" si="70"/>
        <v>0</v>
      </c>
      <c r="J123" s="236">
        <f t="shared" ref="J123:Q123" si="74">IFERROR($D$123*J175/100, 0)</f>
        <v>0</v>
      </c>
      <c r="K123" s="237">
        <f t="shared" si="74"/>
        <v>0</v>
      </c>
      <c r="L123" s="237">
        <f t="shared" si="74"/>
        <v>0</v>
      </c>
      <c r="M123" s="239">
        <f t="shared" si="74"/>
        <v>0</v>
      </c>
      <c r="N123" s="234">
        <f t="shared" si="36"/>
        <v>0</v>
      </c>
      <c r="O123" s="240">
        <f>IFERROR($D$123*O175/100, 0)</f>
        <v>0</v>
      </c>
      <c r="P123" s="238">
        <f t="shared" si="74"/>
        <v>0</v>
      </c>
      <c r="Q123" s="234">
        <f t="shared" si="74"/>
        <v>0</v>
      </c>
    </row>
    <row r="124" spans="1:17">
      <c r="B124" s="290" t="s">
        <v>426</v>
      </c>
      <c r="C124" s="289" t="s">
        <v>358</v>
      </c>
      <c r="D124" s="394">
        <v>0</v>
      </c>
      <c r="E124" s="235">
        <f t="shared" si="55"/>
        <v>0</v>
      </c>
      <c r="F124" s="236">
        <f>IFERROR($D$124*F176/100, 0)</f>
        <v>0</v>
      </c>
      <c r="G124" s="237">
        <f>IFERROR($D$124*G176/100, 0)</f>
        <v>0</v>
      </c>
      <c r="H124" s="238">
        <f>IFERROR($D$124*H176/100, 0)</f>
        <v>0</v>
      </c>
      <c r="I124" s="234">
        <f t="shared" ref="I124:I143" si="75">SUM(J124:L124)</f>
        <v>0</v>
      </c>
      <c r="J124" s="236">
        <f t="shared" ref="J124:Q124" si="76">IFERROR($D$124*J176/100, 0)</f>
        <v>0</v>
      </c>
      <c r="K124" s="237">
        <f t="shared" si="76"/>
        <v>0</v>
      </c>
      <c r="L124" s="237">
        <f t="shared" si="76"/>
        <v>0</v>
      </c>
      <c r="M124" s="239">
        <f t="shared" si="76"/>
        <v>0</v>
      </c>
      <c r="N124" s="234">
        <f t="shared" si="36"/>
        <v>0</v>
      </c>
      <c r="O124" s="240">
        <f>IFERROR($D$124*O176/100, 0)</f>
        <v>0</v>
      </c>
      <c r="P124" s="238">
        <f t="shared" si="76"/>
        <v>0</v>
      </c>
      <c r="Q124" s="234">
        <f t="shared" si="76"/>
        <v>0</v>
      </c>
    </row>
    <row r="125" spans="1:17">
      <c r="B125" s="290" t="s">
        <v>427</v>
      </c>
      <c r="C125" s="289" t="s">
        <v>360</v>
      </c>
      <c r="D125" s="394">
        <v>0</v>
      </c>
      <c r="E125" s="235">
        <f t="shared" si="55"/>
        <v>0</v>
      </c>
      <c r="F125" s="236">
        <f>IFERROR($D$125*F177/100, 0)</f>
        <v>0</v>
      </c>
      <c r="G125" s="237">
        <f>IFERROR($D$125*G177/100, 0)</f>
        <v>0</v>
      </c>
      <c r="H125" s="238">
        <f>IFERROR($D$125*H177/100, 0)</f>
        <v>0</v>
      </c>
      <c r="I125" s="234">
        <f t="shared" si="75"/>
        <v>0</v>
      </c>
      <c r="J125" s="236">
        <f t="shared" ref="J125:Q125" si="77">IFERROR($D$125*J177/100, 0)</f>
        <v>0</v>
      </c>
      <c r="K125" s="237">
        <f t="shared" si="77"/>
        <v>0</v>
      </c>
      <c r="L125" s="237">
        <f t="shared" si="77"/>
        <v>0</v>
      </c>
      <c r="M125" s="239">
        <f t="shared" si="77"/>
        <v>0</v>
      </c>
      <c r="N125" s="234">
        <f t="shared" si="36"/>
        <v>0</v>
      </c>
      <c r="O125" s="240">
        <f>IFERROR($D$125*O177/100, 0)</f>
        <v>0</v>
      </c>
      <c r="P125" s="238">
        <f t="shared" si="77"/>
        <v>0</v>
      </c>
      <c r="Q125" s="234">
        <f t="shared" si="77"/>
        <v>0</v>
      </c>
    </row>
    <row r="126" spans="1:17">
      <c r="B126" s="290" t="s">
        <v>428</v>
      </c>
      <c r="C126" s="289" t="s">
        <v>362</v>
      </c>
      <c r="D126" s="394">
        <v>0</v>
      </c>
      <c r="E126" s="235">
        <f t="shared" si="55"/>
        <v>0</v>
      </c>
      <c r="F126" s="236">
        <f>IFERROR($D$126*F178/100, 0)</f>
        <v>0</v>
      </c>
      <c r="G126" s="237">
        <f>IFERROR($D$126*G178/100, 0)</f>
        <v>0</v>
      </c>
      <c r="H126" s="238">
        <f>IFERROR($D$126*H178/100, 0)</f>
        <v>0</v>
      </c>
      <c r="I126" s="234">
        <f t="shared" si="75"/>
        <v>0</v>
      </c>
      <c r="J126" s="236">
        <f t="shared" ref="J126:Q126" si="78">IFERROR($D$126*J178/100, 0)</f>
        <v>0</v>
      </c>
      <c r="K126" s="237">
        <f t="shared" si="78"/>
        <v>0</v>
      </c>
      <c r="L126" s="237">
        <f t="shared" si="78"/>
        <v>0</v>
      </c>
      <c r="M126" s="239">
        <f t="shared" si="78"/>
        <v>0</v>
      </c>
      <c r="N126" s="234">
        <f t="shared" si="36"/>
        <v>0</v>
      </c>
      <c r="O126" s="240">
        <f>IFERROR($D$126*O178/100, 0)</f>
        <v>0</v>
      </c>
      <c r="P126" s="238">
        <f t="shared" si="78"/>
        <v>0</v>
      </c>
      <c r="Q126" s="234">
        <f t="shared" si="78"/>
        <v>0</v>
      </c>
    </row>
    <row r="127" spans="1:17">
      <c r="B127" s="290" t="s">
        <v>429</v>
      </c>
      <c r="C127" s="289" t="s">
        <v>364</v>
      </c>
      <c r="D127" s="405">
        <v>0.75569999999999993</v>
      </c>
      <c r="E127" s="235">
        <f t="shared" si="55"/>
        <v>0.20014586564087369</v>
      </c>
      <c r="F127" s="236">
        <f>IFERROR($D$127*F179/100, 0)</f>
        <v>1.2511675044986752E-2</v>
      </c>
      <c r="G127" s="237">
        <f>IFERROR($D$127*G179/100, 0)</f>
        <v>2.3282521058444545E-2</v>
      </c>
      <c r="H127" s="238">
        <f>IFERROR($D$127*H179/100, 0)</f>
        <v>0.1643516695374424</v>
      </c>
      <c r="I127" s="234">
        <f t="shared" si="75"/>
        <v>0.47957546025374542</v>
      </c>
      <c r="J127" s="236">
        <f t="shared" ref="J127:Q127" si="79">IFERROR($D$127*J179/100, 0)</f>
        <v>0.24005203175635617</v>
      </c>
      <c r="K127" s="237">
        <f t="shared" si="79"/>
        <v>0.15699432654885614</v>
      </c>
      <c r="L127" s="237">
        <f t="shared" si="79"/>
        <v>8.2529101948533162E-2</v>
      </c>
      <c r="M127" s="239">
        <f t="shared" si="79"/>
        <v>7.2706306844865204E-2</v>
      </c>
      <c r="N127" s="234">
        <f t="shared" si="36"/>
        <v>2.1137796299568659E-4</v>
      </c>
      <c r="O127" s="240">
        <f>IFERROR($D$127*O179/100, 0)</f>
        <v>2.1137796299568659E-4</v>
      </c>
      <c r="P127" s="238">
        <f t="shared" si="79"/>
        <v>0</v>
      </c>
      <c r="Q127" s="234">
        <f t="shared" si="79"/>
        <v>3.0609892975197806E-3</v>
      </c>
    </row>
    <row r="128" spans="1:17">
      <c r="B128" s="290" t="s">
        <v>430</v>
      </c>
      <c r="C128" s="289" t="s">
        <v>366</v>
      </c>
      <c r="D128" s="394">
        <v>4.9237099999999998</v>
      </c>
      <c r="E128" s="235">
        <f t="shared" si="55"/>
        <v>1.3040362579259313</v>
      </c>
      <c r="F128" s="236">
        <f>IFERROR($D$128*F180/100, 0)</f>
        <v>8.1518935471419501E-2</v>
      </c>
      <c r="G128" s="237">
        <f>IFERROR($D$128*G180/100, 0)</f>
        <v>0.15169562228486702</v>
      </c>
      <c r="H128" s="238">
        <f>IFERROR($D$128*H180/100, 0)</f>
        <v>1.0708217001696447</v>
      </c>
      <c r="I128" s="234">
        <f t="shared" si="75"/>
        <v>3.1246400547915441</v>
      </c>
      <c r="J128" s="236">
        <f t="shared" ref="J128:Q128" si="80">IFERROR($D$128*J180/100, 0)</f>
        <v>1.5640420660038226</v>
      </c>
      <c r="K128" s="237">
        <f t="shared" si="80"/>
        <v>1.0228854513323655</v>
      </c>
      <c r="L128" s="237">
        <f t="shared" si="80"/>
        <v>0.53771253745535552</v>
      </c>
      <c r="M128" s="239">
        <f t="shared" si="80"/>
        <v>0.47371280941528554</v>
      </c>
      <c r="N128" s="234">
        <f t="shared" si="36"/>
        <v>1.3772181952911103E-3</v>
      </c>
      <c r="O128" s="240">
        <f>IFERROR($D$128*O180/100, 0)</f>
        <v>1.3772181952911103E-3</v>
      </c>
      <c r="P128" s="238">
        <f t="shared" si="80"/>
        <v>0</v>
      </c>
      <c r="Q128" s="234">
        <f t="shared" si="80"/>
        <v>1.9943659671948021E-2</v>
      </c>
    </row>
    <row r="129" spans="2:17">
      <c r="B129" s="290" t="s">
        <v>431</v>
      </c>
      <c r="C129" s="289" t="s">
        <v>368</v>
      </c>
      <c r="D129" s="394">
        <v>0</v>
      </c>
      <c r="E129" s="235">
        <f t="shared" si="55"/>
        <v>0</v>
      </c>
      <c r="F129" s="236">
        <f>IFERROR($D$129*F181/100, 0)</f>
        <v>0</v>
      </c>
      <c r="G129" s="237">
        <f>IFERROR($D$129*G181/100, 0)</f>
        <v>0</v>
      </c>
      <c r="H129" s="238">
        <f>IFERROR($D$129*H181/100, 0)</f>
        <v>0</v>
      </c>
      <c r="I129" s="234">
        <f t="shared" si="75"/>
        <v>0</v>
      </c>
      <c r="J129" s="236">
        <f t="shared" ref="J129:Q129" si="81">IFERROR($D$129*J181/100, 0)</f>
        <v>0</v>
      </c>
      <c r="K129" s="237">
        <f t="shared" si="81"/>
        <v>0</v>
      </c>
      <c r="L129" s="237">
        <f t="shared" si="81"/>
        <v>0</v>
      </c>
      <c r="M129" s="239">
        <f t="shared" si="81"/>
        <v>0</v>
      </c>
      <c r="N129" s="234">
        <f t="shared" si="36"/>
        <v>0</v>
      </c>
      <c r="O129" s="240">
        <f>IFERROR($D$129*O181/100, 0)</f>
        <v>0</v>
      </c>
      <c r="P129" s="238">
        <f t="shared" si="81"/>
        <v>0</v>
      </c>
      <c r="Q129" s="234">
        <f t="shared" si="81"/>
        <v>0</v>
      </c>
    </row>
    <row r="130" spans="2:17">
      <c r="B130" s="290" t="s">
        <v>432</v>
      </c>
      <c r="C130" s="289" t="s">
        <v>370</v>
      </c>
      <c r="D130" s="394">
        <v>1.1748800000000001</v>
      </c>
      <c r="E130" s="235">
        <f t="shared" si="55"/>
        <v>0.31116497899186146</v>
      </c>
      <c r="F130" s="236">
        <f>IFERROR($D$130*F182/100, 0)</f>
        <v>1.9451788774452874E-2</v>
      </c>
      <c r="G130" s="237">
        <f>IFERROR($D$130*G182/100, 0)</f>
        <v>3.6197126295018311E-2</v>
      </c>
      <c r="H130" s="238">
        <f>IFERROR($D$130*H182/100, 0)</f>
        <v>0.25551606392239029</v>
      </c>
      <c r="I130" s="234">
        <f t="shared" si="75"/>
        <v>0.74559165904845925</v>
      </c>
      <c r="J130" s="236">
        <f t="shared" ref="J130:Q130" si="82">IFERROR($D$130*J182/100, 0)</f>
        <v>0.37320673689282491</v>
      </c>
      <c r="K130" s="237">
        <f t="shared" si="82"/>
        <v>0.2440776688841077</v>
      </c>
      <c r="L130" s="237">
        <f t="shared" si="82"/>
        <v>0.12830725327152659</v>
      </c>
      <c r="M130" s="239">
        <f t="shared" si="82"/>
        <v>0.11303584198212949</v>
      </c>
      <c r="N130" s="234">
        <f t="shared" si="36"/>
        <v>3.2862741982846671E-4</v>
      </c>
      <c r="O130" s="240">
        <f>IFERROR($D$130*O182/100, 0)</f>
        <v>3.2862741982846671E-4</v>
      </c>
      <c r="P130" s="238">
        <f t="shared" si="82"/>
        <v>0</v>
      </c>
      <c r="Q130" s="234">
        <f t="shared" si="82"/>
        <v>4.7588925577213724E-3</v>
      </c>
    </row>
    <row r="131" spans="2:17">
      <c r="B131" s="290" t="s">
        <v>433</v>
      </c>
      <c r="C131" s="289" t="s">
        <v>372</v>
      </c>
      <c r="D131" s="394">
        <v>0</v>
      </c>
      <c r="E131" s="235">
        <f t="shared" si="55"/>
        <v>0</v>
      </c>
      <c r="F131" s="236">
        <f>IFERROR($D$131*F183/100, 0)</f>
        <v>0</v>
      </c>
      <c r="G131" s="237">
        <f>IFERROR($D$131*G183/100, 0)</f>
        <v>0</v>
      </c>
      <c r="H131" s="238">
        <f>IFERROR($D$131*H183/100, 0)</f>
        <v>0</v>
      </c>
      <c r="I131" s="234">
        <f t="shared" si="75"/>
        <v>0</v>
      </c>
      <c r="J131" s="236">
        <f t="shared" ref="J131:Q131" si="83">IFERROR($D$131*J183/100, 0)</f>
        <v>0</v>
      </c>
      <c r="K131" s="237">
        <f t="shared" si="83"/>
        <v>0</v>
      </c>
      <c r="L131" s="237">
        <f t="shared" si="83"/>
        <v>0</v>
      </c>
      <c r="M131" s="239">
        <f t="shared" si="83"/>
        <v>0</v>
      </c>
      <c r="N131" s="234">
        <f t="shared" si="36"/>
        <v>0</v>
      </c>
      <c r="O131" s="240">
        <f>IFERROR($D$131*O183/100, 0)</f>
        <v>0</v>
      </c>
      <c r="P131" s="238">
        <f t="shared" si="83"/>
        <v>0</v>
      </c>
      <c r="Q131" s="234">
        <f t="shared" si="83"/>
        <v>0</v>
      </c>
    </row>
    <row r="132" spans="2:17">
      <c r="B132" s="290" t="s">
        <v>434</v>
      </c>
      <c r="C132" s="289" t="s">
        <v>374</v>
      </c>
      <c r="D132" s="394">
        <v>0</v>
      </c>
      <c r="E132" s="235">
        <f t="shared" si="55"/>
        <v>0</v>
      </c>
      <c r="F132" s="236">
        <f>IFERROR($D$132*F184/100, 0)</f>
        <v>0</v>
      </c>
      <c r="G132" s="237">
        <f>IFERROR($D$132*G184/100, 0)</f>
        <v>0</v>
      </c>
      <c r="H132" s="238">
        <f>IFERROR($D$132*H184/100, 0)</f>
        <v>0</v>
      </c>
      <c r="I132" s="234">
        <f t="shared" si="75"/>
        <v>0</v>
      </c>
      <c r="J132" s="236">
        <f t="shared" ref="J132:Q132" si="84">IFERROR($D$132*J184/100, 0)</f>
        <v>0</v>
      </c>
      <c r="K132" s="237">
        <f t="shared" si="84"/>
        <v>0</v>
      </c>
      <c r="L132" s="237">
        <f t="shared" si="84"/>
        <v>0</v>
      </c>
      <c r="M132" s="239">
        <f t="shared" si="84"/>
        <v>0</v>
      </c>
      <c r="N132" s="234">
        <f t="shared" si="36"/>
        <v>0</v>
      </c>
      <c r="O132" s="240">
        <f>IFERROR($D$132*O184/100, 0)</f>
        <v>0</v>
      </c>
      <c r="P132" s="238">
        <f t="shared" si="84"/>
        <v>0</v>
      </c>
      <c r="Q132" s="234">
        <f t="shared" si="84"/>
        <v>0</v>
      </c>
    </row>
    <row r="133" spans="2:17">
      <c r="B133" s="290" t="s">
        <v>435</v>
      </c>
      <c r="C133" s="289" t="s">
        <v>376</v>
      </c>
      <c r="D133" s="394">
        <v>0</v>
      </c>
      <c r="E133" s="235">
        <f t="shared" si="55"/>
        <v>0</v>
      </c>
      <c r="F133" s="236">
        <f>IFERROR($D$133*F185/100, 0)</f>
        <v>0</v>
      </c>
      <c r="G133" s="237">
        <f>IFERROR($D$133*G185/100, 0)</f>
        <v>0</v>
      </c>
      <c r="H133" s="238">
        <f>IFERROR($D$133*H185/100, 0)</f>
        <v>0</v>
      </c>
      <c r="I133" s="234">
        <f t="shared" si="75"/>
        <v>0</v>
      </c>
      <c r="J133" s="236">
        <f t="shared" ref="J133:Q133" si="85">IFERROR($D$133*J185/100, 0)</f>
        <v>0</v>
      </c>
      <c r="K133" s="237">
        <f t="shared" si="85"/>
        <v>0</v>
      </c>
      <c r="L133" s="237">
        <f t="shared" si="85"/>
        <v>0</v>
      </c>
      <c r="M133" s="239">
        <f t="shared" si="85"/>
        <v>0</v>
      </c>
      <c r="N133" s="234">
        <f t="shared" si="36"/>
        <v>0</v>
      </c>
      <c r="O133" s="240">
        <f>IFERROR($D$133*O185/100, 0)</f>
        <v>0</v>
      </c>
      <c r="P133" s="238">
        <f t="shared" si="85"/>
        <v>0</v>
      </c>
      <c r="Q133" s="234">
        <f t="shared" si="85"/>
        <v>0</v>
      </c>
    </row>
    <row r="134" spans="2:17">
      <c r="B134" s="290" t="s">
        <v>436</v>
      </c>
      <c r="C134" s="289" t="s">
        <v>378</v>
      </c>
      <c r="D134" s="394">
        <v>0</v>
      </c>
      <c r="E134" s="235">
        <f t="shared" si="55"/>
        <v>0</v>
      </c>
      <c r="F134" s="236">
        <f>IFERROR($D$134*F186/100, 0)</f>
        <v>0</v>
      </c>
      <c r="G134" s="237">
        <f>IFERROR($D$134*G186/100, 0)</f>
        <v>0</v>
      </c>
      <c r="H134" s="238">
        <f>IFERROR($D$134*H186/100, 0)</f>
        <v>0</v>
      </c>
      <c r="I134" s="234">
        <f t="shared" si="75"/>
        <v>0</v>
      </c>
      <c r="J134" s="236">
        <f t="shared" ref="J134:Q134" si="86">IFERROR($D$134*J186/100, 0)</f>
        <v>0</v>
      </c>
      <c r="K134" s="237">
        <f t="shared" si="86"/>
        <v>0</v>
      </c>
      <c r="L134" s="237">
        <f t="shared" si="86"/>
        <v>0</v>
      </c>
      <c r="M134" s="239">
        <f t="shared" si="86"/>
        <v>0</v>
      </c>
      <c r="N134" s="234">
        <f t="shared" si="36"/>
        <v>0</v>
      </c>
      <c r="O134" s="240">
        <f>IFERROR($D$134*O186/100, 0)</f>
        <v>0</v>
      </c>
      <c r="P134" s="238">
        <f t="shared" si="86"/>
        <v>0</v>
      </c>
      <c r="Q134" s="234">
        <f t="shared" si="86"/>
        <v>0</v>
      </c>
    </row>
    <row r="135" spans="2:17" ht="15" thickBot="1">
      <c r="B135" s="407" t="s">
        <v>437</v>
      </c>
      <c r="C135" s="342" t="s">
        <v>380</v>
      </c>
      <c r="D135" s="408">
        <v>0.17911000000000002</v>
      </c>
      <c r="E135" s="409">
        <f t="shared" si="55"/>
        <v>4.7436980276481265E-2</v>
      </c>
      <c r="F135" s="410">
        <f>IFERROR($D$135*F187/100, 0)</f>
        <v>2.96541764894479E-3</v>
      </c>
      <c r="G135" s="411">
        <f>IFERROR($D$135*G187/100, 0)</f>
        <v>5.5182378546751402E-3</v>
      </c>
      <c r="H135" s="412">
        <f>IFERROR($D$135*H187/100, 0)</f>
        <v>3.8953324772861335E-2</v>
      </c>
      <c r="I135" s="413">
        <f t="shared" si="75"/>
        <v>0.11366515903936532</v>
      </c>
      <c r="J135" s="410">
        <f t="shared" ref="J135:Q135" si="87">IFERROR($D$135*J187/100, 0)</f>
        <v>5.6895222188541705E-2</v>
      </c>
      <c r="K135" s="411">
        <f t="shared" si="87"/>
        <v>3.7209545888799302E-2</v>
      </c>
      <c r="L135" s="411">
        <f t="shared" si="87"/>
        <v>1.9560390962024318E-2</v>
      </c>
      <c r="M135" s="414">
        <f t="shared" si="87"/>
        <v>1.7232270238168333E-2</v>
      </c>
      <c r="N135" s="413">
        <f t="shared" si="36"/>
        <v>5.0099122604416348E-5</v>
      </c>
      <c r="O135" s="415">
        <f>IFERROR($D$135*O187/100, 0)</f>
        <v>5.0099122604416348E-5</v>
      </c>
      <c r="P135" s="412">
        <f t="shared" si="87"/>
        <v>0</v>
      </c>
      <c r="Q135" s="413">
        <f t="shared" si="87"/>
        <v>7.2549132338066435E-4</v>
      </c>
    </row>
    <row r="136" spans="2:17" ht="15" thickBot="1">
      <c r="B136" s="416" t="s">
        <v>438</v>
      </c>
      <c r="C136" s="352" t="s">
        <v>382</v>
      </c>
      <c r="D136" s="417">
        <v>0</v>
      </c>
      <c r="E136" s="354">
        <f t="shared" si="55"/>
        <v>0</v>
      </c>
      <c r="F136" s="418">
        <f>IFERROR($D$136*F188/100, 0)</f>
        <v>0</v>
      </c>
      <c r="G136" s="419">
        <f>IFERROR($D$136*G188/100, 0)</f>
        <v>0</v>
      </c>
      <c r="H136" s="420">
        <f>IFERROR($D$136*H188/100, 0)</f>
        <v>0</v>
      </c>
      <c r="I136" s="353">
        <f t="shared" si="75"/>
        <v>0</v>
      </c>
      <c r="J136" s="418">
        <f t="shared" ref="J136:Q136" si="88">IFERROR($D$136*J188/100, 0)</f>
        <v>0</v>
      </c>
      <c r="K136" s="419">
        <f t="shared" si="88"/>
        <v>0</v>
      </c>
      <c r="L136" s="419">
        <f t="shared" si="88"/>
        <v>0</v>
      </c>
      <c r="M136" s="421">
        <f t="shared" si="88"/>
        <v>0</v>
      </c>
      <c r="N136" s="353">
        <f t="shared" si="36"/>
        <v>0</v>
      </c>
      <c r="O136" s="422">
        <f>IFERROR($D$136*O188/100, 0)</f>
        <v>0</v>
      </c>
      <c r="P136" s="420">
        <f t="shared" si="88"/>
        <v>0</v>
      </c>
      <c r="Q136" s="353">
        <f t="shared" si="88"/>
        <v>0</v>
      </c>
    </row>
    <row r="137" spans="2:17">
      <c r="B137" s="395" t="s">
        <v>439</v>
      </c>
      <c r="C137" s="230" t="s">
        <v>384</v>
      </c>
      <c r="D137" s="396">
        <f>SUM(D138:D143)</f>
        <v>13.80438</v>
      </c>
      <c r="E137" s="164">
        <f t="shared" si="55"/>
        <v>3.656066672933127</v>
      </c>
      <c r="F137" s="165">
        <f>SUM(F138:F143)</f>
        <v>0.22855090215365126</v>
      </c>
      <c r="G137" s="166">
        <f t="shared" ref="G137:Q137" si="89">SUM(G138:G143)</f>
        <v>0.42530206172921897</v>
      </c>
      <c r="H137" s="167">
        <f t="shared" si="89"/>
        <v>3.002213709050257</v>
      </c>
      <c r="I137" s="163">
        <f t="shared" si="75"/>
        <v>8.7604100728034933</v>
      </c>
      <c r="J137" s="165">
        <f t="shared" si="89"/>
        <v>4.385033037100448</v>
      </c>
      <c r="K137" s="166">
        <f t="shared" si="89"/>
        <v>2.8678170458177838</v>
      </c>
      <c r="L137" s="166">
        <f t="shared" si="89"/>
        <v>1.5075599898852619</v>
      </c>
      <c r="M137" s="168">
        <f t="shared" si="89"/>
        <v>1.328126886440546</v>
      </c>
      <c r="N137" s="163">
        <f t="shared" si="36"/>
        <v>3.861243515705169E-3</v>
      </c>
      <c r="O137" s="169">
        <f>SUM(O138:O143)</f>
        <v>3.861243515705169E-3</v>
      </c>
      <c r="P137" s="167">
        <f t="shared" si="89"/>
        <v>0</v>
      </c>
      <c r="Q137" s="163">
        <f t="shared" si="89"/>
        <v>5.591512430712732E-2</v>
      </c>
    </row>
    <row r="138" spans="2:17">
      <c r="B138" s="423" t="s">
        <v>440</v>
      </c>
      <c r="C138" s="424" t="s">
        <v>386</v>
      </c>
      <c r="D138" s="425">
        <v>5.3099999999999996E-3</v>
      </c>
      <c r="E138" s="365">
        <f t="shared" si="55"/>
        <v>1.4063445104579057E-3</v>
      </c>
      <c r="F138" s="426">
        <f>IFERROR($D$138*F189/100, 0)</f>
        <v>8.7914509049728272E-5</v>
      </c>
      <c r="G138" s="427">
        <f>IFERROR($D$138*G189/100, 0)</f>
        <v>1.6359691255834398E-4</v>
      </c>
      <c r="H138" s="428">
        <f>IFERROR($D$138*H189/100, 0)</f>
        <v>1.1548330888498334E-3</v>
      </c>
      <c r="I138" s="364">
        <f t="shared" si="75"/>
        <v>3.3697839009493038E-3</v>
      </c>
      <c r="J138" s="426">
        <f t="shared" ref="J138:Q138" si="90">IFERROR($D$138*J189/100, 0)</f>
        <v>1.6867490917377949E-3</v>
      </c>
      <c r="K138" s="427">
        <f t="shared" si="90"/>
        <v>1.1031359983782272E-3</v>
      </c>
      <c r="L138" s="427">
        <f t="shared" si="90"/>
        <v>5.7989881083328173E-4</v>
      </c>
      <c r="M138" s="429">
        <f t="shared" si="90"/>
        <v>5.1087797981505122E-4</v>
      </c>
      <c r="N138" s="364">
        <f t="shared" si="36"/>
        <v>1.485267941652899E-6</v>
      </c>
      <c r="O138" s="430">
        <f>IFERROR($D$138*O189/100, 0)</f>
        <v>1.485267941652899E-6</v>
      </c>
      <c r="P138" s="428">
        <f t="shared" si="90"/>
        <v>0</v>
      </c>
      <c r="Q138" s="364">
        <f t="shared" si="90"/>
        <v>2.1508340836085797E-5</v>
      </c>
    </row>
    <row r="139" spans="2:17">
      <c r="B139" s="423" t="s">
        <v>441</v>
      </c>
      <c r="C139" s="431" t="s">
        <v>388</v>
      </c>
      <c r="D139" s="425">
        <v>0.79852999999999996</v>
      </c>
      <c r="E139" s="365">
        <f t="shared" si="55"/>
        <v>0.21148931863200593</v>
      </c>
      <c r="F139" s="426">
        <f>IFERROR($D$139*F189/100, 0)</f>
        <v>1.322078585903569E-2</v>
      </c>
      <c r="G139" s="427">
        <f>IFERROR($D$139*G189/100, 0)</f>
        <v>2.4602079582902902E-2</v>
      </c>
      <c r="H139" s="428">
        <f>IFERROR($D$139*H189/100, 0)</f>
        <v>0.17366645319006732</v>
      </c>
      <c r="I139" s="364">
        <f t="shared" si="75"/>
        <v>0.50675584527778683</v>
      </c>
      <c r="J139" s="426">
        <f t="shared" ref="J139:Q139" si="91">IFERROR($D$139*J189/100, 0)</f>
        <v>0.25365720380892304</v>
      </c>
      <c r="K139" s="427">
        <f t="shared" si="91"/>
        <v>0.16589212594820449</v>
      </c>
      <c r="L139" s="427">
        <f t="shared" si="91"/>
        <v>8.7206515520659236E-2</v>
      </c>
      <c r="M139" s="429">
        <f t="shared" si="91"/>
        <v>7.6827004373203944E-2</v>
      </c>
      <c r="N139" s="364">
        <f t="shared" si="36"/>
        <v>2.2335800554577955E-4</v>
      </c>
      <c r="O139" s="430">
        <f>IFERROR($D$139*O189/100, 0)</f>
        <v>2.2335800554577955E-4</v>
      </c>
      <c r="P139" s="428">
        <f t="shared" si="91"/>
        <v>0</v>
      </c>
      <c r="Q139" s="364">
        <f t="shared" si="91"/>
        <v>3.2344737114575499E-3</v>
      </c>
    </row>
    <row r="140" spans="2:17">
      <c r="B140" s="290" t="s">
        <v>442</v>
      </c>
      <c r="C140" s="289" t="s">
        <v>390</v>
      </c>
      <c r="D140" s="394">
        <v>0</v>
      </c>
      <c r="E140" s="235">
        <f t="shared" si="55"/>
        <v>0</v>
      </c>
      <c r="F140" s="236">
        <f>IFERROR($D$140*F189/100, 0)</f>
        <v>0</v>
      </c>
      <c r="G140" s="237">
        <f>IFERROR($D$140*G189/100, 0)</f>
        <v>0</v>
      </c>
      <c r="H140" s="238">
        <f>IFERROR($D$140*H189/100, 0)</f>
        <v>0</v>
      </c>
      <c r="I140" s="234">
        <f t="shared" si="75"/>
        <v>0</v>
      </c>
      <c r="J140" s="236">
        <f t="shared" ref="J140:Q140" si="92">IFERROR($D$140*J189/100, 0)</f>
        <v>0</v>
      </c>
      <c r="K140" s="237">
        <f t="shared" si="92"/>
        <v>0</v>
      </c>
      <c r="L140" s="237">
        <f t="shared" si="92"/>
        <v>0</v>
      </c>
      <c r="M140" s="239">
        <f t="shared" si="92"/>
        <v>0</v>
      </c>
      <c r="N140" s="234">
        <f t="shared" si="36"/>
        <v>0</v>
      </c>
      <c r="O140" s="240">
        <f>IFERROR($D$140*O189/100, 0)</f>
        <v>0</v>
      </c>
      <c r="P140" s="238">
        <f t="shared" si="92"/>
        <v>0</v>
      </c>
      <c r="Q140" s="234">
        <f t="shared" si="92"/>
        <v>0</v>
      </c>
    </row>
    <row r="141" spans="2:17">
      <c r="B141" s="302" t="s">
        <v>443</v>
      </c>
      <c r="C141" s="280" t="s">
        <v>392</v>
      </c>
      <c r="D141" s="398">
        <v>13.000540000000001</v>
      </c>
      <c r="E141" s="243">
        <f t="shared" si="55"/>
        <v>3.4431710097906634</v>
      </c>
      <c r="F141" s="244">
        <f>IFERROR($D$141*F189/100, 0)</f>
        <v>0.21524220178556583</v>
      </c>
      <c r="G141" s="245">
        <f>IFERROR($D$141*G189/100, 0)</f>
        <v>0.40053638523375773</v>
      </c>
      <c r="H141" s="246">
        <f>IFERROR($D$141*H189/100, 0)</f>
        <v>2.8273924227713398</v>
      </c>
      <c r="I141" s="242">
        <f t="shared" si="75"/>
        <v>8.2502844436247571</v>
      </c>
      <c r="J141" s="244">
        <f t="shared" ref="J141:Q141" si="93">IFERROR($D$141*J189/100, 0)</f>
        <v>4.1296890841997875</v>
      </c>
      <c r="K141" s="245">
        <f t="shared" si="93"/>
        <v>2.7008217838712012</v>
      </c>
      <c r="L141" s="245">
        <f t="shared" si="93"/>
        <v>1.4197735755537693</v>
      </c>
      <c r="M141" s="247">
        <f t="shared" si="93"/>
        <v>1.2507890040875269</v>
      </c>
      <c r="N141" s="242">
        <f t="shared" si="36"/>
        <v>3.6364002422177365E-3</v>
      </c>
      <c r="O141" s="248">
        <f>IFERROR($D$141*O189/100, 0)</f>
        <v>3.6364002422177365E-3</v>
      </c>
      <c r="P141" s="246">
        <f t="shared" si="93"/>
        <v>0</v>
      </c>
      <c r="Q141" s="242">
        <f t="shared" si="93"/>
        <v>5.2659142254833681E-2</v>
      </c>
    </row>
    <row r="142" spans="2:17">
      <c r="B142" s="302" t="s">
        <v>444</v>
      </c>
      <c r="C142" s="432" t="s">
        <v>394</v>
      </c>
      <c r="D142" s="398">
        <v>0</v>
      </c>
      <c r="E142" s="243">
        <f t="shared" si="55"/>
        <v>0</v>
      </c>
      <c r="F142" s="244">
        <f>IFERROR($D$142*F189/100, 0)</f>
        <v>0</v>
      </c>
      <c r="G142" s="245">
        <f>IFERROR($D$142*G189/100, 0)</f>
        <v>0</v>
      </c>
      <c r="H142" s="246">
        <f>IFERROR($D$142*H189/100, 0)</f>
        <v>0</v>
      </c>
      <c r="I142" s="242">
        <f t="shared" si="75"/>
        <v>0</v>
      </c>
      <c r="J142" s="244">
        <f t="shared" ref="J142:Q142" si="94">IFERROR($D$142*J189/100, 0)</f>
        <v>0</v>
      </c>
      <c r="K142" s="245">
        <f t="shared" si="94"/>
        <v>0</v>
      </c>
      <c r="L142" s="245">
        <f t="shared" si="94"/>
        <v>0</v>
      </c>
      <c r="M142" s="247">
        <f t="shared" si="94"/>
        <v>0</v>
      </c>
      <c r="N142" s="242">
        <f t="shared" si="36"/>
        <v>0</v>
      </c>
      <c r="O142" s="248">
        <f>IFERROR($D$142*O189/100, 0)</f>
        <v>0</v>
      </c>
      <c r="P142" s="246">
        <f t="shared" si="94"/>
        <v>0</v>
      </c>
      <c r="Q142" s="242">
        <f t="shared" si="94"/>
        <v>0</v>
      </c>
    </row>
    <row r="143" spans="2:17" ht="15" thickBot="1">
      <c r="B143" s="302" t="s">
        <v>445</v>
      </c>
      <c r="C143" s="432" t="s">
        <v>398</v>
      </c>
      <c r="D143" s="398">
        <v>0</v>
      </c>
      <c r="E143" s="243">
        <f t="shared" si="55"/>
        <v>0</v>
      </c>
      <c r="F143" s="244">
        <f>IFERROR($D$143*F189/100, 0)</f>
        <v>0</v>
      </c>
      <c r="G143" s="245">
        <f>IFERROR($D$143*G189/100, 0)</f>
        <v>0</v>
      </c>
      <c r="H143" s="246">
        <f>IFERROR($D$143*H189/100, 0)</f>
        <v>0</v>
      </c>
      <c r="I143" s="242">
        <f t="shared" si="75"/>
        <v>0</v>
      </c>
      <c r="J143" s="244">
        <f t="shared" ref="J143:Q143" si="95">IFERROR($D$143*J189/100, 0)</f>
        <v>0</v>
      </c>
      <c r="K143" s="245">
        <f t="shared" si="95"/>
        <v>0</v>
      </c>
      <c r="L143" s="245">
        <f t="shared" si="95"/>
        <v>0</v>
      </c>
      <c r="M143" s="247">
        <f t="shared" si="95"/>
        <v>0</v>
      </c>
      <c r="N143" s="242">
        <f t="shared" ref="N143" si="96">O143+P143</f>
        <v>0</v>
      </c>
      <c r="O143" s="248">
        <f>IFERROR($D$143*O189/100, 0)</f>
        <v>0</v>
      </c>
      <c r="P143" s="246">
        <f t="shared" si="95"/>
        <v>0</v>
      </c>
      <c r="Q143" s="242">
        <f t="shared" si="95"/>
        <v>0</v>
      </c>
    </row>
    <row r="144" spans="2:17" ht="91.5" thickBot="1">
      <c r="B144" s="133" t="s">
        <v>137</v>
      </c>
      <c r="C144" s="134" t="s">
        <v>446</v>
      </c>
      <c r="D144" s="135" t="s">
        <v>447</v>
      </c>
      <c r="E144" s="136" t="s">
        <v>239</v>
      </c>
      <c r="F144" s="137" t="s">
        <v>240</v>
      </c>
      <c r="G144" s="138" t="s">
        <v>241</v>
      </c>
      <c r="H144" s="139" t="s">
        <v>242</v>
      </c>
      <c r="I144" s="135" t="s">
        <v>243</v>
      </c>
      <c r="J144" s="137" t="s">
        <v>244</v>
      </c>
      <c r="K144" s="138" t="s">
        <v>245</v>
      </c>
      <c r="L144" s="139" t="s">
        <v>246</v>
      </c>
      <c r="M144" s="141" t="s">
        <v>247</v>
      </c>
      <c r="N144" s="135" t="s">
        <v>248</v>
      </c>
      <c r="O144" s="142" t="s">
        <v>249</v>
      </c>
      <c r="P144" s="139" t="s">
        <v>250</v>
      </c>
      <c r="Q144" s="136" t="s">
        <v>251</v>
      </c>
    </row>
    <row r="145" spans="1:18">
      <c r="B145" s="433" t="s">
        <v>139</v>
      </c>
      <c r="C145" s="434" t="s">
        <v>1333</v>
      </c>
      <c r="D145" s="435"/>
      <c r="E145" s="436"/>
      <c r="F145" s="437"/>
      <c r="G145" s="437"/>
      <c r="H145" s="437"/>
      <c r="I145" s="438"/>
      <c r="J145" s="437"/>
      <c r="K145" s="437"/>
      <c r="L145" s="437"/>
      <c r="M145" s="439"/>
      <c r="N145" s="440"/>
      <c r="O145" s="441"/>
      <c r="P145" s="442"/>
      <c r="Q145" s="437"/>
      <c r="R145" s="128" t="s">
        <v>448</v>
      </c>
    </row>
    <row r="146" spans="1:18">
      <c r="A146" s="170" t="s">
        <v>1334</v>
      </c>
      <c r="B146" s="433">
        <v>1</v>
      </c>
      <c r="C146" s="443" t="s">
        <v>256</v>
      </c>
      <c r="D146" s="444">
        <f>O146+E146+I146+M146+P146+Q146</f>
        <v>99.999999999999986</v>
      </c>
      <c r="E146" s="445">
        <f t="shared" ref="E146:E189" si="97">SUM(F146:H146)</f>
        <v>26.484830705421956</v>
      </c>
      <c r="F146" s="446">
        <v>1.6556404717462951</v>
      </c>
      <c r="G146" s="446">
        <v>3.0809211404584556</v>
      </c>
      <c r="H146" s="446">
        <v>21.748269093217203</v>
      </c>
      <c r="I146" s="444">
        <f>SUM(J146:L146)</f>
        <v>63.461090413357887</v>
      </c>
      <c r="J146" s="446">
        <v>31.765519618414213</v>
      </c>
      <c r="K146" s="446">
        <v>20.774689234994863</v>
      </c>
      <c r="L146" s="446">
        <v>10.92088155994881</v>
      </c>
      <c r="M146" s="447">
        <v>9.6210542338051095</v>
      </c>
      <c r="N146" s="448">
        <f t="shared" ref="N146:N147" si="98">O146+P146</f>
        <v>2.7971147677079079E-2</v>
      </c>
      <c r="O146" s="449">
        <v>2.7971147677079079E-2</v>
      </c>
      <c r="P146" s="450">
        <v>0</v>
      </c>
      <c r="Q146" s="446">
        <v>0.40505349973796229</v>
      </c>
    </row>
    <row r="147" spans="1:18" ht="15" thickBot="1">
      <c r="A147" s="129" t="s">
        <v>1335</v>
      </c>
      <c r="B147" s="451">
        <v>2</v>
      </c>
      <c r="C147" s="452" t="s">
        <v>292</v>
      </c>
      <c r="D147" s="453">
        <f>O147+E147+I147+M147+P147+Q147</f>
        <v>99.999999999999986</v>
      </c>
      <c r="E147" s="454">
        <f t="shared" si="97"/>
        <v>26.484830705421956</v>
      </c>
      <c r="F147" s="446">
        <v>1.6556404717462951</v>
      </c>
      <c r="G147" s="446">
        <v>3.0809211404584556</v>
      </c>
      <c r="H147" s="446">
        <v>21.748269093217203</v>
      </c>
      <c r="I147" s="453">
        <f>SUM(J147:L147)</f>
        <v>63.461090413357887</v>
      </c>
      <c r="J147" s="446">
        <v>31.765519618414213</v>
      </c>
      <c r="K147" s="446">
        <v>20.774689234994863</v>
      </c>
      <c r="L147" s="446">
        <v>10.92088155994881</v>
      </c>
      <c r="M147" s="455">
        <v>9.6210542338051095</v>
      </c>
      <c r="N147" s="456">
        <f t="shared" si="98"/>
        <v>2.7971147677079079E-2</v>
      </c>
      <c r="O147" s="449">
        <v>2.7971147677079079E-2</v>
      </c>
      <c r="P147" s="457">
        <v>0</v>
      </c>
      <c r="Q147" s="458">
        <v>0.40505349973796229</v>
      </c>
    </row>
    <row r="148" spans="1:18" s="128" customFormat="1">
      <c r="A148" s="129"/>
      <c r="B148" s="459" t="s">
        <v>141</v>
      </c>
      <c r="C148" s="460" t="s">
        <v>1336</v>
      </c>
      <c r="D148" s="461"/>
      <c r="E148" s="462"/>
      <c r="F148" s="463"/>
      <c r="G148" s="463"/>
      <c r="H148" s="463"/>
      <c r="I148" s="461"/>
      <c r="J148" s="463"/>
      <c r="K148" s="463"/>
      <c r="L148" s="463"/>
      <c r="M148" s="464"/>
      <c r="N148" s="465"/>
      <c r="O148" s="466"/>
      <c r="P148" s="467"/>
      <c r="Q148" s="463"/>
      <c r="R148" s="128" t="s">
        <v>449</v>
      </c>
    </row>
    <row r="149" spans="1:18" s="128" customFormat="1" ht="26">
      <c r="A149" s="129" t="s">
        <v>1337</v>
      </c>
      <c r="B149" s="468">
        <v>1</v>
      </c>
      <c r="C149" s="469" t="s">
        <v>301</v>
      </c>
      <c r="D149" s="470">
        <f>O149+E149+I149+M149+P149+Q149</f>
        <v>99.999999999999986</v>
      </c>
      <c r="E149" s="471">
        <f t="shared" si="97"/>
        <v>26.484830705421956</v>
      </c>
      <c r="F149" s="446">
        <v>1.6556404717462951</v>
      </c>
      <c r="G149" s="446">
        <v>3.0809211404584556</v>
      </c>
      <c r="H149" s="446">
        <v>21.748269093217203</v>
      </c>
      <c r="I149" s="470">
        <f>SUM(J149:L149)</f>
        <v>63.461090413357887</v>
      </c>
      <c r="J149" s="446">
        <v>31.765519618414213</v>
      </c>
      <c r="K149" s="446">
        <v>20.774689234994863</v>
      </c>
      <c r="L149" s="446">
        <v>10.92088155994881</v>
      </c>
      <c r="M149" s="447">
        <v>9.6210542338051095</v>
      </c>
      <c r="N149" s="448">
        <f t="shared" ref="N149:N150" si="99">O149+P149</f>
        <v>2.7971147677079079E-2</v>
      </c>
      <c r="O149" s="449">
        <v>2.7971147677079079E-2</v>
      </c>
      <c r="P149" s="450">
        <v>0</v>
      </c>
      <c r="Q149" s="446">
        <v>0.40505349973796229</v>
      </c>
    </row>
    <row r="150" spans="1:18" s="128" customFormat="1" ht="15" thickBot="1">
      <c r="A150" s="129" t="s">
        <v>1338</v>
      </c>
      <c r="B150" s="472">
        <v>2</v>
      </c>
      <c r="C150" s="473" t="s">
        <v>303</v>
      </c>
      <c r="D150" s="474">
        <f>O150+E150+I150+M150+P150+Q150</f>
        <v>99.999999999999986</v>
      </c>
      <c r="E150" s="475">
        <f t="shared" si="97"/>
        <v>26.484830705421956</v>
      </c>
      <c r="F150" s="458">
        <v>1.6556404717462951</v>
      </c>
      <c r="G150" s="458">
        <v>3.0809211404584556</v>
      </c>
      <c r="H150" s="458">
        <v>21.748269093217203</v>
      </c>
      <c r="I150" s="474">
        <f>SUM(J150:L150)</f>
        <v>63.461090413357887</v>
      </c>
      <c r="J150" s="458">
        <v>31.765519618414213</v>
      </c>
      <c r="K150" s="458">
        <v>20.774689234994863</v>
      </c>
      <c r="L150" s="458">
        <v>10.92088155994881</v>
      </c>
      <c r="M150" s="455">
        <v>9.6210542338051095</v>
      </c>
      <c r="N150" s="456">
        <f t="shared" si="99"/>
        <v>2.7971147677079079E-2</v>
      </c>
      <c r="O150" s="476">
        <v>2.7971147677079079E-2</v>
      </c>
      <c r="P150" s="457">
        <v>0</v>
      </c>
      <c r="Q150" s="458">
        <v>0.40505349973796229</v>
      </c>
    </row>
    <row r="151" spans="1:18" s="128" customFormat="1">
      <c r="A151" s="129"/>
      <c r="B151" s="459" t="s">
        <v>143</v>
      </c>
      <c r="C151" s="434" t="s">
        <v>1339</v>
      </c>
      <c r="D151" s="461"/>
      <c r="E151" s="462"/>
      <c r="F151" s="463"/>
      <c r="G151" s="463"/>
      <c r="H151" s="463"/>
      <c r="I151" s="461"/>
      <c r="J151" s="463"/>
      <c r="K151" s="463"/>
      <c r="L151" s="463"/>
      <c r="M151" s="464"/>
      <c r="N151" s="465"/>
      <c r="O151" s="466"/>
      <c r="P151" s="467"/>
      <c r="Q151" s="463"/>
      <c r="R151" s="128" t="s">
        <v>450</v>
      </c>
    </row>
    <row r="152" spans="1:18" s="128" customFormat="1" ht="15" thickBot="1">
      <c r="A152" s="129" t="s">
        <v>1340</v>
      </c>
      <c r="B152" s="477">
        <v>1</v>
      </c>
      <c r="C152" s="478" t="s">
        <v>307</v>
      </c>
      <c r="D152" s="474">
        <f>O152+E152+I152+M152+P152+Q152</f>
        <v>99.999999999999986</v>
      </c>
      <c r="E152" s="475">
        <f t="shared" si="97"/>
        <v>26.484830705421956</v>
      </c>
      <c r="F152" s="458">
        <v>1.6556404717462951</v>
      </c>
      <c r="G152" s="458">
        <v>3.0809211404584556</v>
      </c>
      <c r="H152" s="458">
        <v>21.748269093217203</v>
      </c>
      <c r="I152" s="474">
        <f>SUM(J152:L152)</f>
        <v>63.461090413357887</v>
      </c>
      <c r="J152" s="458">
        <v>31.765519618414213</v>
      </c>
      <c r="K152" s="458">
        <v>20.774689234994863</v>
      </c>
      <c r="L152" s="458">
        <v>10.92088155994881</v>
      </c>
      <c r="M152" s="455">
        <v>9.6210542338051095</v>
      </c>
      <c r="N152" s="456">
        <f>O152+P152</f>
        <v>2.7971147677079079E-2</v>
      </c>
      <c r="O152" s="476">
        <v>2.7971147677079079E-2</v>
      </c>
      <c r="P152" s="457">
        <v>0</v>
      </c>
      <c r="Q152" s="458">
        <v>0.40505349973796229</v>
      </c>
    </row>
    <row r="153" spans="1:18" s="128" customFormat="1">
      <c r="A153" s="129"/>
      <c r="B153" s="479" t="s">
        <v>451</v>
      </c>
      <c r="C153" s="480" t="s">
        <v>1341</v>
      </c>
      <c r="D153" s="461"/>
      <c r="E153" s="462"/>
      <c r="F153" s="463"/>
      <c r="G153" s="463"/>
      <c r="H153" s="463"/>
      <c r="I153" s="461"/>
      <c r="J153" s="463"/>
      <c r="K153" s="463"/>
      <c r="L153" s="463"/>
      <c r="M153" s="464"/>
      <c r="N153" s="465"/>
      <c r="O153" s="466"/>
      <c r="P153" s="467"/>
      <c r="Q153" s="463"/>
      <c r="R153" s="128" t="s">
        <v>452</v>
      </c>
    </row>
    <row r="154" spans="1:18" s="128" customFormat="1">
      <c r="A154" s="129" t="s">
        <v>1342</v>
      </c>
      <c r="B154" s="468">
        <v>1</v>
      </c>
      <c r="C154" s="469" t="s">
        <v>262</v>
      </c>
      <c r="D154" s="470">
        <f t="shared" ref="D154:D159" si="100">O154+E154+I154+M154+P154+Q154</f>
        <v>99.999999999999986</v>
      </c>
      <c r="E154" s="471">
        <f t="shared" si="97"/>
        <v>26.484830705421956</v>
      </c>
      <c r="F154" s="446">
        <v>1.6556404717462951</v>
      </c>
      <c r="G154" s="446">
        <v>3.0809211404584556</v>
      </c>
      <c r="H154" s="446">
        <v>21.748269093217203</v>
      </c>
      <c r="I154" s="470">
        <f t="shared" ref="I154:I159" si="101">SUM(J154:L154)</f>
        <v>63.461090413357887</v>
      </c>
      <c r="J154" s="446">
        <v>31.765519618414213</v>
      </c>
      <c r="K154" s="446">
        <v>20.774689234994863</v>
      </c>
      <c r="L154" s="446">
        <v>10.92088155994881</v>
      </c>
      <c r="M154" s="447">
        <v>9.6210542338051095</v>
      </c>
      <c r="N154" s="448">
        <f t="shared" ref="N154:N159" si="102">O154+P154</f>
        <v>2.7971147677079079E-2</v>
      </c>
      <c r="O154" s="449">
        <v>2.7971147677079079E-2</v>
      </c>
      <c r="P154" s="450">
        <v>0</v>
      </c>
      <c r="Q154" s="446">
        <v>0.40505349973796229</v>
      </c>
    </row>
    <row r="155" spans="1:18" s="128" customFormat="1">
      <c r="A155" s="129" t="s">
        <v>1343</v>
      </c>
      <c r="B155" s="468">
        <v>2</v>
      </c>
      <c r="C155" s="469" t="s">
        <v>266</v>
      </c>
      <c r="D155" s="470">
        <f t="shared" si="100"/>
        <v>99.999999999999986</v>
      </c>
      <c r="E155" s="471">
        <f t="shared" si="97"/>
        <v>26.484830705421956</v>
      </c>
      <c r="F155" s="446">
        <v>1.6556404717462951</v>
      </c>
      <c r="G155" s="446">
        <v>3.0809211404584556</v>
      </c>
      <c r="H155" s="446">
        <v>21.748269093217203</v>
      </c>
      <c r="I155" s="470">
        <f t="shared" si="101"/>
        <v>63.461090413357887</v>
      </c>
      <c r="J155" s="446">
        <v>31.765519618414213</v>
      </c>
      <c r="K155" s="446">
        <v>20.774689234994863</v>
      </c>
      <c r="L155" s="446">
        <v>10.92088155994881</v>
      </c>
      <c r="M155" s="447">
        <v>9.6210542338051095</v>
      </c>
      <c r="N155" s="448">
        <f t="shared" si="102"/>
        <v>2.7971147677079079E-2</v>
      </c>
      <c r="O155" s="449">
        <v>2.7971147677079079E-2</v>
      </c>
      <c r="P155" s="450">
        <v>0</v>
      </c>
      <c r="Q155" s="446">
        <v>0.40505349973796229</v>
      </c>
    </row>
    <row r="156" spans="1:18" s="128" customFormat="1">
      <c r="A156" s="129" t="s">
        <v>1344</v>
      </c>
      <c r="B156" s="468">
        <v>3</v>
      </c>
      <c r="C156" s="469" t="s">
        <v>453</v>
      </c>
      <c r="D156" s="470">
        <f t="shared" si="100"/>
        <v>99.999999999999986</v>
      </c>
      <c r="E156" s="471">
        <f t="shared" si="97"/>
        <v>26.484830705421956</v>
      </c>
      <c r="F156" s="446">
        <v>1.6556404717462951</v>
      </c>
      <c r="G156" s="446">
        <v>3.0809211404584556</v>
      </c>
      <c r="H156" s="446">
        <v>21.748269093217203</v>
      </c>
      <c r="I156" s="470">
        <f t="shared" si="101"/>
        <v>63.461090413357887</v>
      </c>
      <c r="J156" s="446">
        <v>31.765519618414213</v>
      </c>
      <c r="K156" s="446">
        <v>20.774689234994863</v>
      </c>
      <c r="L156" s="446">
        <v>10.92088155994881</v>
      </c>
      <c r="M156" s="447">
        <v>9.6210542338051095</v>
      </c>
      <c r="N156" s="448">
        <f t="shared" si="102"/>
        <v>2.7971147677079079E-2</v>
      </c>
      <c r="O156" s="449">
        <v>2.7971147677079079E-2</v>
      </c>
      <c r="P156" s="450">
        <v>0</v>
      </c>
      <c r="Q156" s="446">
        <v>0.40505349973796229</v>
      </c>
    </row>
    <row r="157" spans="1:18" s="128" customFormat="1">
      <c r="A157" s="129" t="s">
        <v>1345</v>
      </c>
      <c r="B157" s="468">
        <v>4</v>
      </c>
      <c r="C157" s="469" t="s">
        <v>454</v>
      </c>
      <c r="D157" s="470">
        <f t="shared" si="100"/>
        <v>99.999999999999986</v>
      </c>
      <c r="E157" s="471">
        <f t="shared" si="97"/>
        <v>26.484830705421956</v>
      </c>
      <c r="F157" s="446">
        <v>1.6556404717462951</v>
      </c>
      <c r="G157" s="446">
        <v>3.0809211404584556</v>
      </c>
      <c r="H157" s="446">
        <v>21.748269093217203</v>
      </c>
      <c r="I157" s="470">
        <f t="shared" si="101"/>
        <v>63.461090413357887</v>
      </c>
      <c r="J157" s="446">
        <v>31.765519618414213</v>
      </c>
      <c r="K157" s="446">
        <v>20.774689234994863</v>
      </c>
      <c r="L157" s="446">
        <v>10.92088155994881</v>
      </c>
      <c r="M157" s="447">
        <v>9.6210542338051095</v>
      </c>
      <c r="N157" s="448">
        <f t="shared" si="102"/>
        <v>2.7971147677079079E-2</v>
      </c>
      <c r="O157" s="449">
        <v>2.7971147677079079E-2</v>
      </c>
      <c r="P157" s="450">
        <v>0</v>
      </c>
      <c r="Q157" s="446">
        <v>0.40505349973796229</v>
      </c>
    </row>
    <row r="158" spans="1:18" s="128" customFormat="1" ht="15" thickBot="1">
      <c r="A158" s="129" t="s">
        <v>1346</v>
      </c>
      <c r="B158" s="472">
        <v>5</v>
      </c>
      <c r="C158" s="473" t="s">
        <v>316</v>
      </c>
      <c r="D158" s="474">
        <f t="shared" si="100"/>
        <v>99.999999999999986</v>
      </c>
      <c r="E158" s="475">
        <f t="shared" si="97"/>
        <v>26.484830705421956</v>
      </c>
      <c r="F158" s="458">
        <v>1.6556404717462951</v>
      </c>
      <c r="G158" s="458">
        <v>3.0809211404584556</v>
      </c>
      <c r="H158" s="458">
        <v>21.748269093217203</v>
      </c>
      <c r="I158" s="474">
        <f t="shared" si="101"/>
        <v>63.461090413357887</v>
      </c>
      <c r="J158" s="458">
        <v>31.765519618414213</v>
      </c>
      <c r="K158" s="458">
        <v>20.774689234994863</v>
      </c>
      <c r="L158" s="458">
        <v>10.92088155994881</v>
      </c>
      <c r="M158" s="455">
        <v>9.6210542338051095</v>
      </c>
      <c r="N158" s="456">
        <f t="shared" si="102"/>
        <v>2.7971147677079079E-2</v>
      </c>
      <c r="O158" s="476">
        <v>2.7971147677079079E-2</v>
      </c>
      <c r="P158" s="457">
        <v>0</v>
      </c>
      <c r="Q158" s="458">
        <v>0.40505349973796229</v>
      </c>
    </row>
    <row r="159" spans="1:18" s="128" customFormat="1" ht="15" thickBot="1">
      <c r="A159" s="129" t="s">
        <v>1347</v>
      </c>
      <c r="B159" s="481" t="s">
        <v>455</v>
      </c>
      <c r="C159" s="482" t="s">
        <v>1348</v>
      </c>
      <c r="D159" s="483">
        <f t="shared" si="100"/>
        <v>99.999999999999986</v>
      </c>
      <c r="E159" s="484">
        <f t="shared" si="97"/>
        <v>26.484830705421956</v>
      </c>
      <c r="F159" s="485">
        <v>1.6556404717462951</v>
      </c>
      <c r="G159" s="485">
        <v>3.0809211404584556</v>
      </c>
      <c r="H159" s="485">
        <v>21.748269093217203</v>
      </c>
      <c r="I159" s="483">
        <f t="shared" si="101"/>
        <v>63.461090413357887</v>
      </c>
      <c r="J159" s="485">
        <v>31.765519618414213</v>
      </c>
      <c r="K159" s="485">
        <v>20.774689234994863</v>
      </c>
      <c r="L159" s="485">
        <v>10.92088155994881</v>
      </c>
      <c r="M159" s="486">
        <v>9.6210542338051095</v>
      </c>
      <c r="N159" s="487">
        <f t="shared" si="102"/>
        <v>2.7971147677079079E-2</v>
      </c>
      <c r="O159" s="488">
        <v>2.7971147677079079E-2</v>
      </c>
      <c r="P159" s="489">
        <v>0</v>
      </c>
      <c r="Q159" s="485">
        <v>0.40505349973796229</v>
      </c>
      <c r="R159" s="128" t="s">
        <v>456</v>
      </c>
    </row>
    <row r="160" spans="1:18" s="128" customFormat="1">
      <c r="A160" s="129"/>
      <c r="B160" s="459" t="s">
        <v>457</v>
      </c>
      <c r="C160" s="460" t="s">
        <v>1349</v>
      </c>
      <c r="D160" s="461"/>
      <c r="E160" s="462"/>
      <c r="F160" s="463"/>
      <c r="G160" s="463"/>
      <c r="H160" s="463"/>
      <c r="I160" s="461"/>
      <c r="J160" s="463"/>
      <c r="K160" s="463"/>
      <c r="L160" s="463"/>
      <c r="M160" s="464"/>
      <c r="N160" s="465"/>
      <c r="O160" s="466"/>
      <c r="P160" s="467"/>
      <c r="Q160" s="463"/>
      <c r="R160" s="128" t="s">
        <v>458</v>
      </c>
    </row>
    <row r="161" spans="1:18" s="128" customFormat="1">
      <c r="A161" s="129" t="s">
        <v>1350</v>
      </c>
      <c r="B161" s="468">
        <v>1</v>
      </c>
      <c r="C161" s="469" t="s">
        <v>270</v>
      </c>
      <c r="D161" s="470">
        <f>O161+E161+I161+M161+P161+Q161</f>
        <v>99.999999999999986</v>
      </c>
      <c r="E161" s="471">
        <f t="shared" si="97"/>
        <v>26.484830705421956</v>
      </c>
      <c r="F161" s="446">
        <v>1.6556404717462951</v>
      </c>
      <c r="G161" s="446">
        <v>3.0809211404584556</v>
      </c>
      <c r="H161" s="446">
        <v>21.748269093217203</v>
      </c>
      <c r="I161" s="470">
        <f>SUM(J161:L161)</f>
        <v>63.461090413357887</v>
      </c>
      <c r="J161" s="446">
        <v>31.765519618414213</v>
      </c>
      <c r="K161" s="446">
        <v>20.774689234994863</v>
      </c>
      <c r="L161" s="446">
        <v>10.92088155994881</v>
      </c>
      <c r="M161" s="447">
        <v>9.6210542338051095</v>
      </c>
      <c r="N161" s="448">
        <f t="shared" ref="N161:N165" si="103">O161+P161</f>
        <v>2.7971147677079079E-2</v>
      </c>
      <c r="O161" s="449">
        <v>2.7971147677079079E-2</v>
      </c>
      <c r="P161" s="450">
        <v>0</v>
      </c>
      <c r="Q161" s="446">
        <v>0.40505349973796229</v>
      </c>
    </row>
    <row r="162" spans="1:18" s="128" customFormat="1">
      <c r="A162" s="129" t="s">
        <v>1351</v>
      </c>
      <c r="B162" s="468">
        <v>2</v>
      </c>
      <c r="C162" s="490" t="s">
        <v>324</v>
      </c>
      <c r="D162" s="470">
        <f>O162+E162+I162+M162+P162+Q162</f>
        <v>99.999999999999986</v>
      </c>
      <c r="E162" s="471">
        <f t="shared" si="97"/>
        <v>26.484830705421956</v>
      </c>
      <c r="F162" s="446">
        <v>1.6556404717462951</v>
      </c>
      <c r="G162" s="446">
        <v>3.0809211404584556</v>
      </c>
      <c r="H162" s="446">
        <v>21.748269093217203</v>
      </c>
      <c r="I162" s="470">
        <f>SUM(J162:L162)</f>
        <v>63.461090413357887</v>
      </c>
      <c r="J162" s="446">
        <v>31.765519618414213</v>
      </c>
      <c r="K162" s="446">
        <v>20.774689234994863</v>
      </c>
      <c r="L162" s="446">
        <v>10.92088155994881</v>
      </c>
      <c r="M162" s="447">
        <v>9.6210542338051095</v>
      </c>
      <c r="N162" s="448">
        <f t="shared" si="103"/>
        <v>2.7971147677079079E-2</v>
      </c>
      <c r="O162" s="449">
        <v>2.7971147677079079E-2</v>
      </c>
      <c r="P162" s="450">
        <v>0</v>
      </c>
      <c r="Q162" s="446">
        <v>0.40505349973796229</v>
      </c>
    </row>
    <row r="163" spans="1:18" s="128" customFormat="1">
      <c r="A163" s="129" t="s">
        <v>1352</v>
      </c>
      <c r="B163" s="468">
        <v>3</v>
      </c>
      <c r="C163" s="469" t="s">
        <v>459</v>
      </c>
      <c r="D163" s="470">
        <f>O163+E163+I163+M163+P163+Q163</f>
        <v>99.999999999999986</v>
      </c>
      <c r="E163" s="471">
        <f t="shared" si="97"/>
        <v>26.484830705421956</v>
      </c>
      <c r="F163" s="446">
        <v>1.6556404717462951</v>
      </c>
      <c r="G163" s="446">
        <v>3.0809211404584556</v>
      </c>
      <c r="H163" s="446">
        <v>21.748269093217203</v>
      </c>
      <c r="I163" s="470">
        <f>SUM(J163:L163)</f>
        <v>63.461090413357887</v>
      </c>
      <c r="J163" s="446">
        <v>31.765519618414213</v>
      </c>
      <c r="K163" s="446">
        <v>20.774689234994863</v>
      </c>
      <c r="L163" s="446">
        <v>10.92088155994881</v>
      </c>
      <c r="M163" s="447">
        <v>9.6210542338051095</v>
      </c>
      <c r="N163" s="448">
        <f t="shared" si="103"/>
        <v>2.7971147677079079E-2</v>
      </c>
      <c r="O163" s="449">
        <v>2.7971147677079079E-2</v>
      </c>
      <c r="P163" s="450">
        <v>0</v>
      </c>
      <c r="Q163" s="446">
        <v>0.40505349973796229</v>
      </c>
    </row>
    <row r="164" spans="1:18" s="128" customFormat="1">
      <c r="A164" s="129" t="s">
        <v>1353</v>
      </c>
      <c r="B164" s="472">
        <v>4</v>
      </c>
      <c r="C164" s="473" t="s">
        <v>328</v>
      </c>
      <c r="D164" s="470">
        <f>O164+E164+I164+M164+P164+Q164</f>
        <v>99.999999999999986</v>
      </c>
      <c r="E164" s="471">
        <f t="shared" ref="E164" si="104">SUM(F164:H164)</f>
        <v>26.484830705421956</v>
      </c>
      <c r="F164" s="446">
        <v>1.6556404717462951</v>
      </c>
      <c r="G164" s="446">
        <v>3.0809211404584556</v>
      </c>
      <c r="H164" s="446">
        <v>21.748269093217203</v>
      </c>
      <c r="I164" s="470">
        <f>SUM(J164:L164)</f>
        <v>63.461090413357887</v>
      </c>
      <c r="J164" s="446">
        <v>31.765519618414213</v>
      </c>
      <c r="K164" s="446">
        <v>20.774689234994863</v>
      </c>
      <c r="L164" s="446">
        <v>10.92088155994881</v>
      </c>
      <c r="M164" s="447">
        <v>9.6210542338051095</v>
      </c>
      <c r="N164" s="448">
        <f t="shared" si="103"/>
        <v>2.7971147677079079E-2</v>
      </c>
      <c r="O164" s="449">
        <v>2.7971147677079079E-2</v>
      </c>
      <c r="P164" s="450">
        <v>0</v>
      </c>
      <c r="Q164" s="446">
        <v>0.40505349973796229</v>
      </c>
    </row>
    <row r="165" spans="1:18" s="128" customFormat="1" ht="15" thickBot="1">
      <c r="A165" s="129" t="s">
        <v>1354</v>
      </c>
      <c r="B165" s="472">
        <v>5</v>
      </c>
      <c r="C165" s="473" t="s">
        <v>460</v>
      </c>
      <c r="D165" s="474">
        <f>O165+E165+I165+M165+P165+Q165</f>
        <v>99.999999999999986</v>
      </c>
      <c r="E165" s="475">
        <f t="shared" si="97"/>
        <v>26.484830705421956</v>
      </c>
      <c r="F165" s="458">
        <v>1.6556404717462951</v>
      </c>
      <c r="G165" s="458">
        <v>3.0809211404584556</v>
      </c>
      <c r="H165" s="458">
        <v>21.748269093217203</v>
      </c>
      <c r="I165" s="474">
        <f>SUM(J165:L165)</f>
        <v>63.461090413357887</v>
      </c>
      <c r="J165" s="458">
        <v>31.765519618414213</v>
      </c>
      <c r="K165" s="458">
        <v>20.774689234994863</v>
      </c>
      <c r="L165" s="458">
        <v>10.92088155994881</v>
      </c>
      <c r="M165" s="455">
        <v>9.6210542338051095</v>
      </c>
      <c r="N165" s="456">
        <f t="shared" si="103"/>
        <v>2.7971147677079079E-2</v>
      </c>
      <c r="O165" s="476">
        <v>2.7971147677079079E-2</v>
      </c>
      <c r="P165" s="457">
        <v>0</v>
      </c>
      <c r="Q165" s="458">
        <v>0.40505349973796229</v>
      </c>
    </row>
    <row r="166" spans="1:18" s="128" customFormat="1">
      <c r="A166" s="129"/>
      <c r="B166" s="459" t="s">
        <v>461</v>
      </c>
      <c r="C166" s="460" t="s">
        <v>1355</v>
      </c>
      <c r="D166" s="461"/>
      <c r="E166" s="462"/>
      <c r="F166" s="463"/>
      <c r="G166" s="463"/>
      <c r="H166" s="463"/>
      <c r="I166" s="461"/>
      <c r="J166" s="463"/>
      <c r="K166" s="463"/>
      <c r="L166" s="463"/>
      <c r="M166" s="464"/>
      <c r="N166" s="465"/>
      <c r="O166" s="466"/>
      <c r="P166" s="467"/>
      <c r="Q166" s="463"/>
      <c r="R166" s="128" t="s">
        <v>462</v>
      </c>
    </row>
    <row r="167" spans="1:18" s="128" customFormat="1">
      <c r="A167" s="129" t="s">
        <v>1356</v>
      </c>
      <c r="B167" s="468">
        <v>1</v>
      </c>
      <c r="C167" s="469" t="s">
        <v>463</v>
      </c>
      <c r="D167" s="470">
        <f>O167+E167+I167+M167+P167+Q167</f>
        <v>99.999999999999986</v>
      </c>
      <c r="E167" s="471">
        <f t="shared" si="97"/>
        <v>26.484830705421956</v>
      </c>
      <c r="F167" s="446">
        <v>1.6556404717462951</v>
      </c>
      <c r="G167" s="446">
        <v>3.0809211404584556</v>
      </c>
      <c r="H167" s="446">
        <v>21.748269093217203</v>
      </c>
      <c r="I167" s="470">
        <f>SUM(J167:L167)</f>
        <v>63.461090413357887</v>
      </c>
      <c r="J167" s="446">
        <v>31.765519618414213</v>
      </c>
      <c r="K167" s="446">
        <v>20.774689234994863</v>
      </c>
      <c r="L167" s="446">
        <v>10.92088155994881</v>
      </c>
      <c r="M167" s="447">
        <v>9.6210542338051095</v>
      </c>
      <c r="N167" s="448">
        <f t="shared" ref="N167:N168" si="105">O167+P167</f>
        <v>2.7971147677079079E-2</v>
      </c>
      <c r="O167" s="449">
        <v>2.7971147677079079E-2</v>
      </c>
      <c r="P167" s="450">
        <v>0</v>
      </c>
      <c r="Q167" s="446">
        <v>0.40505349973796229</v>
      </c>
    </row>
    <row r="168" spans="1:18" s="128" customFormat="1">
      <c r="A168" s="129" t="s">
        <v>1357</v>
      </c>
      <c r="B168" s="472">
        <v>2</v>
      </c>
      <c r="C168" s="473" t="s">
        <v>464</v>
      </c>
      <c r="D168" s="470">
        <f>O168+E168+I168+M168+P168+Q168</f>
        <v>99.999999999999986</v>
      </c>
      <c r="E168" s="471">
        <f t="shared" si="97"/>
        <v>26.484830705421956</v>
      </c>
      <c r="F168" s="491">
        <v>1.6556404717462951</v>
      </c>
      <c r="G168" s="491">
        <v>3.0809211404584556</v>
      </c>
      <c r="H168" s="491">
        <v>21.748269093217203</v>
      </c>
      <c r="I168" s="470">
        <f>SUM(J168:L168)</f>
        <v>63.461090413357887</v>
      </c>
      <c r="J168" s="491">
        <v>31.765519618414213</v>
      </c>
      <c r="K168" s="491">
        <v>20.774689234994863</v>
      </c>
      <c r="L168" s="491">
        <v>10.92088155994881</v>
      </c>
      <c r="M168" s="492">
        <v>9.6210542338051095</v>
      </c>
      <c r="N168" s="493">
        <f t="shared" si="105"/>
        <v>2.7971147677079079E-2</v>
      </c>
      <c r="O168" s="494">
        <v>2.7971147677079079E-2</v>
      </c>
      <c r="P168" s="495">
        <v>0</v>
      </c>
      <c r="Q168" s="491">
        <v>0.40505349973796229</v>
      </c>
    </row>
    <row r="169" spans="1:18" s="128" customFormat="1" ht="15" thickBot="1">
      <c r="A169" s="129" t="s">
        <v>1358</v>
      </c>
      <c r="B169" s="472">
        <v>3</v>
      </c>
      <c r="C169" s="473" t="s">
        <v>344</v>
      </c>
      <c r="D169" s="474">
        <f>O169+E169+I169+M169+P169+Q169</f>
        <v>99.999999999999986</v>
      </c>
      <c r="E169" s="475">
        <f t="shared" si="97"/>
        <v>26.484830705421956</v>
      </c>
      <c r="F169" s="458">
        <v>1.6556404717462951</v>
      </c>
      <c r="G169" s="458">
        <v>3.0809211404584556</v>
      </c>
      <c r="H169" s="458">
        <v>21.748269093217203</v>
      </c>
      <c r="I169" s="474">
        <f>SUM(J169:L169)</f>
        <v>63.461090413357887</v>
      </c>
      <c r="J169" s="458">
        <v>31.765519618414213</v>
      </c>
      <c r="K169" s="458">
        <v>20.774689234994863</v>
      </c>
      <c r="L169" s="458">
        <v>10.92088155994881</v>
      </c>
      <c r="M169" s="455">
        <v>9.6210542338051095</v>
      </c>
      <c r="N169" s="456">
        <f>O169+P169</f>
        <v>2.7971147677079079E-2</v>
      </c>
      <c r="O169" s="476">
        <v>2.7971147677079079E-2</v>
      </c>
      <c r="P169" s="457">
        <v>0</v>
      </c>
      <c r="Q169" s="458">
        <v>0.40505349973796229</v>
      </c>
    </row>
    <row r="170" spans="1:18" s="128" customFormat="1">
      <c r="A170" s="129"/>
      <c r="B170" s="459" t="s">
        <v>465</v>
      </c>
      <c r="C170" s="460" t="s">
        <v>1359</v>
      </c>
      <c r="D170" s="461"/>
      <c r="E170" s="462"/>
      <c r="F170" s="463"/>
      <c r="G170" s="463"/>
      <c r="H170" s="463"/>
      <c r="I170" s="461"/>
      <c r="J170" s="463"/>
      <c r="K170" s="463"/>
      <c r="L170" s="463"/>
      <c r="M170" s="464"/>
      <c r="N170" s="465"/>
      <c r="O170" s="466"/>
      <c r="P170" s="467"/>
      <c r="Q170" s="463"/>
      <c r="R170" s="128" t="s">
        <v>466</v>
      </c>
    </row>
    <row r="171" spans="1:18" s="128" customFormat="1">
      <c r="A171" s="129" t="s">
        <v>1360</v>
      </c>
      <c r="B171" s="468">
        <v>1</v>
      </c>
      <c r="C171" s="469" t="s">
        <v>467</v>
      </c>
      <c r="D171" s="470">
        <f>O171+E171+I171+M171+P171+Q171</f>
        <v>99.999999999999986</v>
      </c>
      <c r="E171" s="471">
        <f t="shared" si="97"/>
        <v>26.484830705421956</v>
      </c>
      <c r="F171" s="446">
        <v>1.6556404717462951</v>
      </c>
      <c r="G171" s="446">
        <v>3.0809211404584556</v>
      </c>
      <c r="H171" s="446">
        <v>21.748269093217203</v>
      </c>
      <c r="I171" s="470">
        <f>SUM(J171:L171)</f>
        <v>63.461090413357887</v>
      </c>
      <c r="J171" s="446">
        <v>31.765519618414213</v>
      </c>
      <c r="K171" s="446">
        <v>20.774689234994863</v>
      </c>
      <c r="L171" s="446">
        <v>10.92088155994881</v>
      </c>
      <c r="M171" s="447">
        <v>9.6210542338051095</v>
      </c>
      <c r="N171" s="448">
        <f t="shared" ref="N171:N172" si="106">O171+P171</f>
        <v>2.7971147677079079E-2</v>
      </c>
      <c r="O171" s="449">
        <v>2.7971147677079079E-2</v>
      </c>
      <c r="P171" s="450">
        <v>0</v>
      </c>
      <c r="Q171" s="446">
        <v>0.40505349973796229</v>
      </c>
    </row>
    <row r="172" spans="1:18" s="128" customFormat="1" ht="15" thickBot="1">
      <c r="A172" s="129" t="s">
        <v>1361</v>
      </c>
      <c r="B172" s="472">
        <v>2</v>
      </c>
      <c r="C172" s="473" t="s">
        <v>468</v>
      </c>
      <c r="D172" s="474">
        <f>O172+E172+I172+M172+P172+Q172</f>
        <v>99.999999999999986</v>
      </c>
      <c r="E172" s="475">
        <f t="shared" si="97"/>
        <v>26.484830705421956</v>
      </c>
      <c r="F172" s="458">
        <v>1.6556404717462951</v>
      </c>
      <c r="G172" s="458">
        <v>3.0809211404584556</v>
      </c>
      <c r="H172" s="458">
        <v>21.748269093217203</v>
      </c>
      <c r="I172" s="474">
        <f>SUM(J172:L172)</f>
        <v>63.461090413357887</v>
      </c>
      <c r="J172" s="458">
        <v>31.765519618414213</v>
      </c>
      <c r="K172" s="458">
        <v>20.774689234994863</v>
      </c>
      <c r="L172" s="458">
        <v>10.92088155994881</v>
      </c>
      <c r="M172" s="455">
        <v>9.6210542338051095</v>
      </c>
      <c r="N172" s="456">
        <f t="shared" si="106"/>
        <v>2.7971147677079079E-2</v>
      </c>
      <c r="O172" s="476">
        <v>2.7971147677079079E-2</v>
      </c>
      <c r="P172" s="457">
        <v>0</v>
      </c>
      <c r="Q172" s="458">
        <v>0.40505349973796229</v>
      </c>
    </row>
    <row r="173" spans="1:18" s="128" customFormat="1">
      <c r="A173" s="129"/>
      <c r="B173" s="459" t="s">
        <v>469</v>
      </c>
      <c r="C173" s="460" t="s">
        <v>1362</v>
      </c>
      <c r="D173" s="461"/>
      <c r="E173" s="462"/>
      <c r="F173" s="463"/>
      <c r="G173" s="463"/>
      <c r="H173" s="463"/>
      <c r="I173" s="461"/>
      <c r="J173" s="463"/>
      <c r="K173" s="463"/>
      <c r="L173" s="463"/>
      <c r="M173" s="464"/>
      <c r="N173" s="465"/>
      <c r="O173" s="466"/>
      <c r="P173" s="467"/>
      <c r="Q173" s="463"/>
      <c r="R173" s="128" t="s">
        <v>470</v>
      </c>
    </row>
    <row r="174" spans="1:18" s="128" customFormat="1">
      <c r="A174" s="129" t="s">
        <v>1363</v>
      </c>
      <c r="B174" s="468">
        <v>1</v>
      </c>
      <c r="C174" s="469" t="s">
        <v>471</v>
      </c>
      <c r="D174" s="470">
        <f t="shared" ref="D174:D189" si="107">O174+E174+I174+M174+P174+Q174</f>
        <v>99.999999999999986</v>
      </c>
      <c r="E174" s="471">
        <f t="shared" si="97"/>
        <v>26.484830705421956</v>
      </c>
      <c r="F174" s="446">
        <v>1.6556404717462951</v>
      </c>
      <c r="G174" s="446">
        <v>3.0809211404584556</v>
      </c>
      <c r="H174" s="446">
        <v>21.748269093217203</v>
      </c>
      <c r="I174" s="470">
        <f t="shared" ref="I174:I189" si="108">SUM(J174:L174)</f>
        <v>63.461090413357887</v>
      </c>
      <c r="J174" s="446">
        <v>31.765519618414213</v>
      </c>
      <c r="K174" s="446">
        <v>20.774689234994863</v>
      </c>
      <c r="L174" s="446">
        <v>10.92088155994881</v>
      </c>
      <c r="M174" s="447">
        <v>9.6210542338051095</v>
      </c>
      <c r="N174" s="448">
        <f t="shared" ref="N174:N238" si="109">O174+P174</f>
        <v>2.7971147677079079E-2</v>
      </c>
      <c r="O174" s="449">
        <v>2.7971147677079079E-2</v>
      </c>
      <c r="P174" s="450">
        <v>0</v>
      </c>
      <c r="Q174" s="446">
        <v>0.40505349973796229</v>
      </c>
    </row>
    <row r="175" spans="1:18" s="128" customFormat="1">
      <c r="A175" s="129" t="s">
        <v>1364</v>
      </c>
      <c r="B175" s="468">
        <v>2</v>
      </c>
      <c r="C175" s="469" t="s">
        <v>472</v>
      </c>
      <c r="D175" s="470">
        <f t="shared" si="107"/>
        <v>99.999999999999986</v>
      </c>
      <c r="E175" s="471">
        <f t="shared" si="97"/>
        <v>26.484830705421956</v>
      </c>
      <c r="F175" s="446">
        <v>1.6556404717462951</v>
      </c>
      <c r="G175" s="446">
        <v>3.0809211404584556</v>
      </c>
      <c r="H175" s="446">
        <v>21.748269093217203</v>
      </c>
      <c r="I175" s="470">
        <f t="shared" si="108"/>
        <v>63.461090413357887</v>
      </c>
      <c r="J175" s="446">
        <v>31.765519618414213</v>
      </c>
      <c r="K175" s="446">
        <v>20.774689234994863</v>
      </c>
      <c r="L175" s="446">
        <v>10.92088155994881</v>
      </c>
      <c r="M175" s="447">
        <v>9.6210542338051095</v>
      </c>
      <c r="N175" s="448">
        <f t="shared" si="109"/>
        <v>2.7971147677079079E-2</v>
      </c>
      <c r="O175" s="449">
        <v>2.7971147677079079E-2</v>
      </c>
      <c r="P175" s="450">
        <v>0</v>
      </c>
      <c r="Q175" s="446">
        <v>0.40505349973796229</v>
      </c>
    </row>
    <row r="176" spans="1:18" s="128" customFormat="1">
      <c r="A176" s="129" t="s">
        <v>1365</v>
      </c>
      <c r="B176" s="468">
        <v>3</v>
      </c>
      <c r="C176" s="469" t="s">
        <v>473</v>
      </c>
      <c r="D176" s="470">
        <f t="shared" si="107"/>
        <v>99.999999999999986</v>
      </c>
      <c r="E176" s="471">
        <f t="shared" si="97"/>
        <v>26.484830705421956</v>
      </c>
      <c r="F176" s="446">
        <v>1.6556404717462951</v>
      </c>
      <c r="G176" s="446">
        <v>3.0809211404584556</v>
      </c>
      <c r="H176" s="446">
        <v>21.748269093217203</v>
      </c>
      <c r="I176" s="470">
        <f t="shared" si="108"/>
        <v>63.461090413357887</v>
      </c>
      <c r="J176" s="446">
        <v>31.765519618414213</v>
      </c>
      <c r="K176" s="446">
        <v>20.774689234994863</v>
      </c>
      <c r="L176" s="446">
        <v>10.92088155994881</v>
      </c>
      <c r="M176" s="447">
        <v>9.6210542338051095</v>
      </c>
      <c r="N176" s="448">
        <f t="shared" si="109"/>
        <v>2.7971147677079079E-2</v>
      </c>
      <c r="O176" s="449">
        <v>2.7971147677079079E-2</v>
      </c>
      <c r="P176" s="450">
        <v>0</v>
      </c>
      <c r="Q176" s="446">
        <v>0.40505349973796229</v>
      </c>
    </row>
    <row r="177" spans="1:18" s="128" customFormat="1">
      <c r="A177" s="129" t="s">
        <v>1366</v>
      </c>
      <c r="B177" s="468">
        <v>4</v>
      </c>
      <c r="C177" s="469" t="s">
        <v>474</v>
      </c>
      <c r="D177" s="470">
        <f t="shared" si="107"/>
        <v>99.999999999999986</v>
      </c>
      <c r="E177" s="471">
        <f t="shared" si="97"/>
        <v>26.484830705421956</v>
      </c>
      <c r="F177" s="446">
        <v>1.6556404717462951</v>
      </c>
      <c r="G177" s="446">
        <v>3.0809211404584556</v>
      </c>
      <c r="H177" s="446">
        <v>21.748269093217203</v>
      </c>
      <c r="I177" s="470">
        <f t="shared" si="108"/>
        <v>63.461090413357887</v>
      </c>
      <c r="J177" s="446">
        <v>31.765519618414213</v>
      </c>
      <c r="K177" s="446">
        <v>20.774689234994863</v>
      </c>
      <c r="L177" s="446">
        <v>10.92088155994881</v>
      </c>
      <c r="M177" s="447">
        <v>9.6210542338051095</v>
      </c>
      <c r="N177" s="448">
        <f t="shared" si="109"/>
        <v>2.7971147677079079E-2</v>
      </c>
      <c r="O177" s="449">
        <v>2.7971147677079079E-2</v>
      </c>
      <c r="P177" s="450">
        <v>0</v>
      </c>
      <c r="Q177" s="446">
        <v>0.40505349973796229</v>
      </c>
    </row>
    <row r="178" spans="1:18" s="128" customFormat="1">
      <c r="A178" s="129" t="s">
        <v>1367</v>
      </c>
      <c r="B178" s="468">
        <v>5</v>
      </c>
      <c r="C178" s="469" t="s">
        <v>475</v>
      </c>
      <c r="D178" s="470">
        <f t="shared" si="107"/>
        <v>99.999999999999986</v>
      </c>
      <c r="E178" s="471">
        <f t="shared" si="97"/>
        <v>26.484830705421956</v>
      </c>
      <c r="F178" s="446">
        <v>1.6556404717462951</v>
      </c>
      <c r="G178" s="446">
        <v>3.0809211404584556</v>
      </c>
      <c r="H178" s="446">
        <v>21.748269093217203</v>
      </c>
      <c r="I178" s="470">
        <f t="shared" si="108"/>
        <v>63.461090413357887</v>
      </c>
      <c r="J178" s="446">
        <v>31.765519618414213</v>
      </c>
      <c r="K178" s="446">
        <v>20.774689234994863</v>
      </c>
      <c r="L178" s="446">
        <v>10.92088155994881</v>
      </c>
      <c r="M178" s="447">
        <v>9.6210542338051095</v>
      </c>
      <c r="N178" s="448">
        <f t="shared" si="109"/>
        <v>2.7971147677079079E-2</v>
      </c>
      <c r="O178" s="449">
        <v>2.7971147677079079E-2</v>
      </c>
      <c r="P178" s="450">
        <v>0</v>
      </c>
      <c r="Q178" s="446">
        <v>0.40505349973796229</v>
      </c>
    </row>
    <row r="179" spans="1:18" s="128" customFormat="1">
      <c r="A179" s="129" t="s">
        <v>1368</v>
      </c>
      <c r="B179" s="468">
        <v>6</v>
      </c>
      <c r="C179" s="469" t="s">
        <v>476</v>
      </c>
      <c r="D179" s="470">
        <f t="shared" si="107"/>
        <v>99.999999999999986</v>
      </c>
      <c r="E179" s="471">
        <f t="shared" si="97"/>
        <v>26.484830705421956</v>
      </c>
      <c r="F179" s="446">
        <v>1.6556404717462951</v>
      </c>
      <c r="G179" s="446">
        <v>3.0809211404584556</v>
      </c>
      <c r="H179" s="446">
        <v>21.748269093217203</v>
      </c>
      <c r="I179" s="470">
        <f t="shared" si="108"/>
        <v>63.461090413357887</v>
      </c>
      <c r="J179" s="446">
        <v>31.765519618414213</v>
      </c>
      <c r="K179" s="446">
        <v>20.774689234994863</v>
      </c>
      <c r="L179" s="446">
        <v>10.92088155994881</v>
      </c>
      <c r="M179" s="447">
        <v>9.6210542338051095</v>
      </c>
      <c r="N179" s="448">
        <f t="shared" si="109"/>
        <v>2.7971147677079079E-2</v>
      </c>
      <c r="O179" s="449">
        <v>2.7971147677079079E-2</v>
      </c>
      <c r="P179" s="450">
        <v>0</v>
      </c>
      <c r="Q179" s="446">
        <v>0.40505349973796229</v>
      </c>
    </row>
    <row r="180" spans="1:18" s="128" customFormat="1">
      <c r="A180" s="129" t="s">
        <v>1369</v>
      </c>
      <c r="B180" s="468">
        <v>7</v>
      </c>
      <c r="C180" s="469" t="s">
        <v>477</v>
      </c>
      <c r="D180" s="470">
        <f t="shared" si="107"/>
        <v>99.999999999999986</v>
      </c>
      <c r="E180" s="471">
        <f t="shared" si="97"/>
        <v>26.484830705421956</v>
      </c>
      <c r="F180" s="446">
        <v>1.6556404717462951</v>
      </c>
      <c r="G180" s="446">
        <v>3.0809211404584556</v>
      </c>
      <c r="H180" s="446">
        <v>21.748269093217203</v>
      </c>
      <c r="I180" s="470">
        <f t="shared" si="108"/>
        <v>63.461090413357887</v>
      </c>
      <c r="J180" s="446">
        <v>31.765519618414213</v>
      </c>
      <c r="K180" s="446">
        <v>20.774689234994863</v>
      </c>
      <c r="L180" s="446">
        <v>10.92088155994881</v>
      </c>
      <c r="M180" s="447">
        <v>9.6210542338051095</v>
      </c>
      <c r="N180" s="448">
        <f t="shared" si="109"/>
        <v>2.7971147677079079E-2</v>
      </c>
      <c r="O180" s="449">
        <v>2.7971147677079079E-2</v>
      </c>
      <c r="P180" s="450">
        <v>0</v>
      </c>
      <c r="Q180" s="446">
        <v>0.40505349973796229</v>
      </c>
    </row>
    <row r="181" spans="1:18" s="128" customFormat="1">
      <c r="A181" s="129" t="s">
        <v>1370</v>
      </c>
      <c r="B181" s="468">
        <v>8</v>
      </c>
      <c r="C181" s="469" t="s">
        <v>478</v>
      </c>
      <c r="D181" s="470">
        <f t="shared" si="107"/>
        <v>99.999999999999986</v>
      </c>
      <c r="E181" s="471">
        <f t="shared" si="97"/>
        <v>26.484830705421956</v>
      </c>
      <c r="F181" s="446">
        <v>1.6556404717462951</v>
      </c>
      <c r="G181" s="446">
        <v>3.0809211404584556</v>
      </c>
      <c r="H181" s="446">
        <v>21.748269093217203</v>
      </c>
      <c r="I181" s="470">
        <f t="shared" si="108"/>
        <v>63.461090413357887</v>
      </c>
      <c r="J181" s="446">
        <v>31.765519618414213</v>
      </c>
      <c r="K181" s="446">
        <v>20.774689234994863</v>
      </c>
      <c r="L181" s="446">
        <v>10.92088155994881</v>
      </c>
      <c r="M181" s="447">
        <v>9.6210542338051095</v>
      </c>
      <c r="N181" s="448">
        <f t="shared" si="109"/>
        <v>2.7971147677079079E-2</v>
      </c>
      <c r="O181" s="449">
        <v>2.7971147677079079E-2</v>
      </c>
      <c r="P181" s="450">
        <v>0</v>
      </c>
      <c r="Q181" s="446">
        <v>0.40505349973796229</v>
      </c>
    </row>
    <row r="182" spans="1:18" s="128" customFormat="1">
      <c r="A182" s="129" t="s">
        <v>1371</v>
      </c>
      <c r="B182" s="468">
        <v>9</v>
      </c>
      <c r="C182" s="469" t="s">
        <v>479</v>
      </c>
      <c r="D182" s="470">
        <f t="shared" si="107"/>
        <v>99.999999999999986</v>
      </c>
      <c r="E182" s="471">
        <f t="shared" si="97"/>
        <v>26.484830705421956</v>
      </c>
      <c r="F182" s="446">
        <v>1.6556404717462951</v>
      </c>
      <c r="G182" s="446">
        <v>3.0809211404584556</v>
      </c>
      <c r="H182" s="446">
        <v>21.748269093217203</v>
      </c>
      <c r="I182" s="470">
        <f t="shared" si="108"/>
        <v>63.461090413357887</v>
      </c>
      <c r="J182" s="446">
        <v>31.765519618414213</v>
      </c>
      <c r="K182" s="446">
        <v>20.774689234994863</v>
      </c>
      <c r="L182" s="446">
        <v>10.92088155994881</v>
      </c>
      <c r="M182" s="447">
        <v>9.6210542338051095</v>
      </c>
      <c r="N182" s="448">
        <f t="shared" si="109"/>
        <v>2.7971147677079079E-2</v>
      </c>
      <c r="O182" s="449">
        <v>2.7971147677079079E-2</v>
      </c>
      <c r="P182" s="450">
        <v>0</v>
      </c>
      <c r="Q182" s="446">
        <v>0.40505349973796229</v>
      </c>
    </row>
    <row r="183" spans="1:18" s="128" customFormat="1">
      <c r="A183" s="129" t="s">
        <v>1372</v>
      </c>
      <c r="B183" s="468">
        <v>10</v>
      </c>
      <c r="C183" s="469" t="s">
        <v>480</v>
      </c>
      <c r="D183" s="470">
        <f t="shared" si="107"/>
        <v>99.999999999999986</v>
      </c>
      <c r="E183" s="471">
        <f t="shared" si="97"/>
        <v>26.484830705421956</v>
      </c>
      <c r="F183" s="446">
        <v>1.6556404717462951</v>
      </c>
      <c r="G183" s="446">
        <v>3.0809211404584556</v>
      </c>
      <c r="H183" s="446">
        <v>21.748269093217203</v>
      </c>
      <c r="I183" s="470">
        <f t="shared" si="108"/>
        <v>63.461090413357887</v>
      </c>
      <c r="J183" s="446">
        <v>31.765519618414213</v>
      </c>
      <c r="K183" s="446">
        <v>20.774689234994863</v>
      </c>
      <c r="L183" s="446">
        <v>10.92088155994881</v>
      </c>
      <c r="M183" s="447">
        <v>9.6210542338051095</v>
      </c>
      <c r="N183" s="448">
        <f t="shared" si="109"/>
        <v>2.7971147677079079E-2</v>
      </c>
      <c r="O183" s="449">
        <v>2.7971147677079079E-2</v>
      </c>
      <c r="P183" s="450">
        <v>0</v>
      </c>
      <c r="Q183" s="446">
        <v>0.40505349973796229</v>
      </c>
    </row>
    <row r="184" spans="1:18" s="128" customFormat="1">
      <c r="A184" s="129" t="s">
        <v>1373</v>
      </c>
      <c r="B184" s="468">
        <v>11</v>
      </c>
      <c r="C184" s="469" t="s">
        <v>481</v>
      </c>
      <c r="D184" s="470">
        <f t="shared" si="107"/>
        <v>99.999999999999986</v>
      </c>
      <c r="E184" s="471">
        <f t="shared" si="97"/>
        <v>26.484830705421956</v>
      </c>
      <c r="F184" s="446">
        <v>1.6556404717462951</v>
      </c>
      <c r="G184" s="446">
        <v>3.0809211404584556</v>
      </c>
      <c r="H184" s="446">
        <v>21.748269093217203</v>
      </c>
      <c r="I184" s="470">
        <f t="shared" si="108"/>
        <v>63.461090413357887</v>
      </c>
      <c r="J184" s="446">
        <v>31.765519618414213</v>
      </c>
      <c r="K184" s="446">
        <v>20.774689234994863</v>
      </c>
      <c r="L184" s="446">
        <v>10.92088155994881</v>
      </c>
      <c r="M184" s="447">
        <v>9.6210542338051095</v>
      </c>
      <c r="N184" s="448">
        <f t="shared" si="109"/>
        <v>2.7971147677079079E-2</v>
      </c>
      <c r="O184" s="449">
        <v>2.7971147677079079E-2</v>
      </c>
      <c r="P184" s="450">
        <v>0</v>
      </c>
      <c r="Q184" s="446">
        <v>0.40505349973796229</v>
      </c>
    </row>
    <row r="185" spans="1:18" s="128" customFormat="1">
      <c r="A185" s="129" t="s">
        <v>1374</v>
      </c>
      <c r="B185" s="468">
        <v>12</v>
      </c>
      <c r="C185" s="469" t="s">
        <v>482</v>
      </c>
      <c r="D185" s="470">
        <f t="shared" si="107"/>
        <v>99.999999999999986</v>
      </c>
      <c r="E185" s="471">
        <f t="shared" si="97"/>
        <v>26.484830705421956</v>
      </c>
      <c r="F185" s="446">
        <v>1.6556404717462951</v>
      </c>
      <c r="G185" s="446">
        <v>3.0809211404584556</v>
      </c>
      <c r="H185" s="446">
        <v>21.748269093217203</v>
      </c>
      <c r="I185" s="470">
        <f t="shared" si="108"/>
        <v>63.461090413357887</v>
      </c>
      <c r="J185" s="446">
        <v>31.765519618414213</v>
      </c>
      <c r="K185" s="446">
        <v>20.774689234994863</v>
      </c>
      <c r="L185" s="446">
        <v>10.92088155994881</v>
      </c>
      <c r="M185" s="447">
        <v>9.6210542338051095</v>
      </c>
      <c r="N185" s="448">
        <f t="shared" si="109"/>
        <v>2.7971147677079079E-2</v>
      </c>
      <c r="O185" s="449">
        <v>2.7971147677079079E-2</v>
      </c>
      <c r="P185" s="450">
        <v>0</v>
      </c>
      <c r="Q185" s="446">
        <v>0.40505349973796229</v>
      </c>
    </row>
    <row r="186" spans="1:18" s="128" customFormat="1">
      <c r="A186" s="129" t="s">
        <v>1375</v>
      </c>
      <c r="B186" s="468">
        <v>13</v>
      </c>
      <c r="C186" s="469" t="s">
        <v>483</v>
      </c>
      <c r="D186" s="470">
        <f t="shared" si="107"/>
        <v>99.999999999999986</v>
      </c>
      <c r="E186" s="471">
        <f t="shared" si="97"/>
        <v>26.484830705421956</v>
      </c>
      <c r="F186" s="446">
        <v>1.6556404717462951</v>
      </c>
      <c r="G186" s="446">
        <v>3.0809211404584556</v>
      </c>
      <c r="H186" s="446">
        <v>21.748269093217203</v>
      </c>
      <c r="I186" s="470">
        <f t="shared" si="108"/>
        <v>63.461090413357887</v>
      </c>
      <c r="J186" s="446">
        <v>31.765519618414213</v>
      </c>
      <c r="K186" s="446">
        <v>20.774689234994863</v>
      </c>
      <c r="L186" s="446">
        <v>10.92088155994881</v>
      </c>
      <c r="M186" s="447">
        <v>9.6210542338051095</v>
      </c>
      <c r="N186" s="448">
        <f t="shared" si="109"/>
        <v>2.7971147677079079E-2</v>
      </c>
      <c r="O186" s="449">
        <v>2.7971147677079079E-2</v>
      </c>
      <c r="P186" s="450">
        <v>0</v>
      </c>
      <c r="Q186" s="446">
        <v>0.40505349973796229</v>
      </c>
    </row>
    <row r="187" spans="1:18" s="128" customFormat="1" ht="15" thickBot="1">
      <c r="A187" s="129" t="s">
        <v>1376</v>
      </c>
      <c r="B187" s="472">
        <v>14</v>
      </c>
      <c r="C187" s="473" t="s">
        <v>484</v>
      </c>
      <c r="D187" s="474">
        <f t="shared" si="107"/>
        <v>99.999999999999986</v>
      </c>
      <c r="E187" s="475">
        <f t="shared" si="97"/>
        <v>26.484830705421956</v>
      </c>
      <c r="F187" s="458">
        <v>1.6556404717462951</v>
      </c>
      <c r="G187" s="458">
        <v>3.0809211404584556</v>
      </c>
      <c r="H187" s="458">
        <v>21.748269093217203</v>
      </c>
      <c r="I187" s="474">
        <f t="shared" si="108"/>
        <v>63.461090413357887</v>
      </c>
      <c r="J187" s="458">
        <v>31.765519618414213</v>
      </c>
      <c r="K187" s="458">
        <v>20.774689234994863</v>
      </c>
      <c r="L187" s="458">
        <v>10.92088155994881</v>
      </c>
      <c r="M187" s="455">
        <v>9.6210542338051095</v>
      </c>
      <c r="N187" s="456">
        <f t="shared" si="109"/>
        <v>2.7971147677079079E-2</v>
      </c>
      <c r="O187" s="476">
        <v>2.7971147677079079E-2</v>
      </c>
      <c r="P187" s="457">
        <v>0</v>
      </c>
      <c r="Q187" s="458">
        <v>0.40505349973796229</v>
      </c>
    </row>
    <row r="188" spans="1:18" s="128" customFormat="1" ht="15" thickBot="1">
      <c r="A188" s="129" t="s">
        <v>1377</v>
      </c>
      <c r="B188" s="481" t="s">
        <v>485</v>
      </c>
      <c r="C188" s="496" t="s">
        <v>1378</v>
      </c>
      <c r="D188" s="483">
        <f t="shared" si="107"/>
        <v>99.999999999999986</v>
      </c>
      <c r="E188" s="484">
        <f t="shared" si="97"/>
        <v>26.484830705421956</v>
      </c>
      <c r="F188" s="485">
        <v>1.6556404717462951</v>
      </c>
      <c r="G188" s="485">
        <v>3.0809211404584556</v>
      </c>
      <c r="H188" s="485">
        <v>21.748269093217203</v>
      </c>
      <c r="I188" s="483">
        <f t="shared" si="108"/>
        <v>63.461090413357887</v>
      </c>
      <c r="J188" s="485">
        <v>31.765519618414213</v>
      </c>
      <c r="K188" s="485">
        <v>20.774689234994863</v>
      </c>
      <c r="L188" s="485">
        <v>10.92088155994881</v>
      </c>
      <c r="M188" s="486">
        <v>9.6210542338051095</v>
      </c>
      <c r="N188" s="487">
        <f t="shared" si="109"/>
        <v>2.7971147677079079E-2</v>
      </c>
      <c r="O188" s="488">
        <v>2.7971147677079079E-2</v>
      </c>
      <c r="P188" s="489">
        <v>0</v>
      </c>
      <c r="Q188" s="485">
        <v>0.40505349973796229</v>
      </c>
      <c r="R188" s="128" t="s">
        <v>486</v>
      </c>
    </row>
    <row r="189" spans="1:18" s="128" customFormat="1" ht="15" thickBot="1">
      <c r="A189" s="129" t="s">
        <v>1379</v>
      </c>
      <c r="B189" s="497" t="s">
        <v>487</v>
      </c>
      <c r="C189" s="498" t="s">
        <v>1380</v>
      </c>
      <c r="D189" s="499">
        <f t="shared" si="107"/>
        <v>99.999999999999986</v>
      </c>
      <c r="E189" s="500">
        <f t="shared" si="97"/>
        <v>26.484830705421956</v>
      </c>
      <c r="F189" s="501">
        <v>1.6556404717462951</v>
      </c>
      <c r="G189" s="501">
        <v>3.0809211404584556</v>
      </c>
      <c r="H189" s="501">
        <v>21.748269093217203</v>
      </c>
      <c r="I189" s="499">
        <f t="shared" si="108"/>
        <v>63.461090413357887</v>
      </c>
      <c r="J189" s="501">
        <v>31.765519618414213</v>
      </c>
      <c r="K189" s="501">
        <v>20.774689234994863</v>
      </c>
      <c r="L189" s="501">
        <v>10.92088155994881</v>
      </c>
      <c r="M189" s="502">
        <v>9.6210542338051095</v>
      </c>
      <c r="N189" s="503">
        <f t="shared" si="109"/>
        <v>2.7971147677079079E-2</v>
      </c>
      <c r="O189" s="504">
        <v>2.7971147677079079E-2</v>
      </c>
      <c r="P189" s="505">
        <v>0</v>
      </c>
      <c r="Q189" s="501">
        <v>0.40505349973796229</v>
      </c>
      <c r="R189" s="128" t="s">
        <v>488</v>
      </c>
    </row>
    <row r="190" spans="1:18" ht="15.5" thickTop="1" thickBot="1">
      <c r="A190" s="506"/>
      <c r="B190" s="257" t="s">
        <v>489</v>
      </c>
      <c r="C190" s="144" t="s">
        <v>490</v>
      </c>
      <c r="D190" s="257">
        <f>D191+D193+D196+D198+D205+D204+D211+D215+D218+D234+D235</f>
        <v>718.68734397493722</v>
      </c>
      <c r="E190" s="258">
        <f t="shared" ref="E190:Q190" si="110">E191+E193+E196+E198+E205+E204+E211+E215+E218+E234+E235</f>
        <v>225.70293939753196</v>
      </c>
      <c r="F190" s="259">
        <f t="shared" si="110"/>
        <v>33.557558968317053</v>
      </c>
      <c r="G190" s="260">
        <f t="shared" si="110"/>
        <v>26.24451721979753</v>
      </c>
      <c r="H190" s="261">
        <f t="shared" si="110"/>
        <v>165.90086320941742</v>
      </c>
      <c r="I190" s="257">
        <f t="shared" si="110"/>
        <v>421.22060094668387</v>
      </c>
      <c r="J190" s="259">
        <f t="shared" si="110"/>
        <v>200.46714654328883</v>
      </c>
      <c r="K190" s="260">
        <f t="shared" si="110"/>
        <v>154.13620370340439</v>
      </c>
      <c r="L190" s="260">
        <f t="shared" si="110"/>
        <v>66.617250699990663</v>
      </c>
      <c r="M190" s="262">
        <f t="shared" si="110"/>
        <v>33.462278886086025</v>
      </c>
      <c r="N190" s="257">
        <f t="shared" si="109"/>
        <v>31.502793862715411</v>
      </c>
      <c r="O190" s="507">
        <f>O191+O193+O196+O198+O205+O204+O211+O215+O218+O234+O235</f>
        <v>31.502793862715411</v>
      </c>
      <c r="P190" s="261">
        <f t="shared" si="110"/>
        <v>0</v>
      </c>
      <c r="Q190" s="257">
        <f t="shared" si="110"/>
        <v>6.7987308819199717</v>
      </c>
    </row>
    <row r="191" spans="1:18" ht="15" thickTop="1">
      <c r="A191" s="506"/>
      <c r="B191" s="508" t="s">
        <v>491</v>
      </c>
      <c r="C191" s="509" t="s">
        <v>289</v>
      </c>
      <c r="D191" s="510">
        <f>D192</f>
        <v>3.9302199999999998</v>
      </c>
      <c r="E191" s="511">
        <f t="shared" ref="E191:Q191" si="111">E192</f>
        <v>1.2342811013935187</v>
      </c>
      <c r="F191" s="512">
        <f t="shared" si="111"/>
        <v>0.18351316537592791</v>
      </c>
      <c r="G191" s="513">
        <f t="shared" si="111"/>
        <v>0.14352100024066886</v>
      </c>
      <c r="H191" s="514">
        <f t="shared" si="111"/>
        <v>0.90724693577692195</v>
      </c>
      <c r="I191" s="508">
        <f t="shared" si="111"/>
        <v>2.3034907239307216</v>
      </c>
      <c r="J191" s="512">
        <f t="shared" si="111"/>
        <v>1.0962764201881372</v>
      </c>
      <c r="K191" s="513">
        <f t="shared" si="111"/>
        <v>0.8429106141881908</v>
      </c>
      <c r="L191" s="513">
        <f t="shared" si="111"/>
        <v>0.36430368955439363</v>
      </c>
      <c r="M191" s="515">
        <f t="shared" si="111"/>
        <v>0.18299211587098618</v>
      </c>
      <c r="N191" s="508">
        <f t="shared" si="109"/>
        <v>0.17227645864797508</v>
      </c>
      <c r="O191" s="516">
        <f>O192</f>
        <v>0.17227645864797508</v>
      </c>
      <c r="P191" s="514">
        <f t="shared" si="111"/>
        <v>0</v>
      </c>
      <c r="Q191" s="508">
        <f t="shared" si="111"/>
        <v>3.7179600156798276E-2</v>
      </c>
    </row>
    <row r="192" spans="1:18" s="128" customFormat="1" ht="15" thickBot="1">
      <c r="A192" s="506"/>
      <c r="B192" s="517" t="s">
        <v>492</v>
      </c>
      <c r="C192" s="190" t="s">
        <v>292</v>
      </c>
      <c r="D192" s="518">
        <v>3.9302199999999998</v>
      </c>
      <c r="E192" s="519">
        <f>SUM(F192:H192)</f>
        <v>1.2342811013935187</v>
      </c>
      <c r="F192" s="520">
        <f>IFERROR($D192*F$242/100, 0)</f>
        <v>0.18351316537592791</v>
      </c>
      <c r="G192" s="521">
        <f>IFERROR($D192*G$242/100, 0)</f>
        <v>0.14352100024066886</v>
      </c>
      <c r="H192" s="522">
        <f>IFERROR($D192*H$242/100, 0)</f>
        <v>0.90724693577692195</v>
      </c>
      <c r="I192" s="523">
        <f t="shared" ref="I192:I240" si="112">SUM(J192:L192)</f>
        <v>2.3034907239307216</v>
      </c>
      <c r="J192" s="520">
        <f t="shared" ref="J192:Q192" si="113">IFERROR($D192*J$242/100, 0)</f>
        <v>1.0962764201881372</v>
      </c>
      <c r="K192" s="521">
        <f t="shared" si="113"/>
        <v>0.8429106141881908</v>
      </c>
      <c r="L192" s="521">
        <f t="shared" si="113"/>
        <v>0.36430368955439363</v>
      </c>
      <c r="M192" s="524">
        <f t="shared" si="113"/>
        <v>0.18299211587098618</v>
      </c>
      <c r="N192" s="523">
        <f t="shared" si="109"/>
        <v>0.17227645864797508</v>
      </c>
      <c r="O192" s="525">
        <f>IFERROR($D192*O$242/100, 0)</f>
        <v>0.17227645864797508</v>
      </c>
      <c r="P192" s="522">
        <f t="shared" si="113"/>
        <v>0</v>
      </c>
      <c r="Q192" s="523">
        <f t="shared" si="113"/>
        <v>3.7179600156798276E-2</v>
      </c>
    </row>
    <row r="193" spans="1:17">
      <c r="A193" s="506"/>
      <c r="B193" s="268" t="s">
        <v>149</v>
      </c>
      <c r="C193" s="230" t="s">
        <v>299</v>
      </c>
      <c r="D193" s="526">
        <f>SUM(D194:D195)</f>
        <v>3.9843000000000002</v>
      </c>
      <c r="E193" s="527">
        <f>SUM(E194:E195)</f>
        <v>1.2512648636163362</v>
      </c>
      <c r="F193" s="528">
        <f t="shared" ref="F193:Q193" si="114">SUM(F194:F195)</f>
        <v>0.18603831460002485</v>
      </c>
      <c r="G193" s="529">
        <f t="shared" si="114"/>
        <v>0.14549585551416891</v>
      </c>
      <c r="H193" s="530">
        <f t="shared" si="114"/>
        <v>0.91973069350214232</v>
      </c>
      <c r="I193" s="531">
        <f t="shared" si="112"/>
        <v>2.3351868575695951</v>
      </c>
      <c r="J193" s="528">
        <f t="shared" si="114"/>
        <v>1.1113612319299162</v>
      </c>
      <c r="K193" s="529">
        <f t="shared" si="114"/>
        <v>0.85450910129967494</v>
      </c>
      <c r="L193" s="529">
        <f t="shared" si="114"/>
        <v>0.369316524340004</v>
      </c>
      <c r="M193" s="532">
        <f t="shared" si="114"/>
        <v>0.18551009543098609</v>
      </c>
      <c r="N193" s="531">
        <f t="shared" si="109"/>
        <v>0.17464699029345104</v>
      </c>
      <c r="O193" s="533">
        <f>SUM(O194:O195)</f>
        <v>0.17464699029345104</v>
      </c>
      <c r="P193" s="530">
        <f t="shared" si="114"/>
        <v>0</v>
      </c>
      <c r="Q193" s="531">
        <f t="shared" si="114"/>
        <v>3.769119308963146E-2</v>
      </c>
    </row>
    <row r="194" spans="1:17" ht="26">
      <c r="A194" s="506"/>
      <c r="B194" s="288" t="s">
        <v>493</v>
      </c>
      <c r="C194" s="181" t="s">
        <v>301</v>
      </c>
      <c r="D194" s="394">
        <v>0.10252</v>
      </c>
      <c r="E194" s="235">
        <f>SUM(F194:H194)</f>
        <v>3.2196288888373559E-2</v>
      </c>
      <c r="F194" s="236">
        <f t="shared" ref="F194:H195" si="115">IFERROR($D194*F$242/100, 0)</f>
        <v>4.7869507850298787E-3</v>
      </c>
      <c r="G194" s="237">
        <f t="shared" si="115"/>
        <v>3.7437530073821238E-3</v>
      </c>
      <c r="H194" s="238">
        <f t="shared" si="115"/>
        <v>2.3665585095961558E-2</v>
      </c>
      <c r="I194" s="234">
        <f t="shared" si="112"/>
        <v>6.0086679376059757E-2</v>
      </c>
      <c r="J194" s="236">
        <f t="shared" ref="J194:M195" si="116">IFERROR($D194*J$242/100, 0)</f>
        <v>2.8596429359600179E-2</v>
      </c>
      <c r="K194" s="237">
        <f t="shared" si="116"/>
        <v>2.1987368688412688E-2</v>
      </c>
      <c r="L194" s="237">
        <f t="shared" si="116"/>
        <v>9.5028813280468877E-3</v>
      </c>
      <c r="M194" s="239">
        <f t="shared" si="116"/>
        <v>4.7733591806803444E-3</v>
      </c>
      <c r="N194" s="234">
        <f t="shared" si="109"/>
        <v>4.4938406859133606E-3</v>
      </c>
      <c r="O194" s="534">
        <f t="shared" ref="O194:Q195" si="117">IFERROR($D194*O$242/100, 0)</f>
        <v>4.4938406859133606E-3</v>
      </c>
      <c r="P194" s="238">
        <f t="shared" si="117"/>
        <v>0</v>
      </c>
      <c r="Q194" s="234">
        <f t="shared" si="117"/>
        <v>9.6983186897297332E-4</v>
      </c>
    </row>
    <row r="195" spans="1:17" ht="15" thickBot="1">
      <c r="A195" s="506"/>
      <c r="B195" s="535" t="s">
        <v>494</v>
      </c>
      <c r="C195" s="536" t="s">
        <v>303</v>
      </c>
      <c r="D195" s="408">
        <v>3.88178</v>
      </c>
      <c r="E195" s="409">
        <f>SUM(F195:H195)</f>
        <v>1.2190685747279626</v>
      </c>
      <c r="F195" s="410">
        <f t="shared" si="115"/>
        <v>0.18125136381499496</v>
      </c>
      <c r="G195" s="411">
        <f t="shared" si="115"/>
        <v>0.1417521025067868</v>
      </c>
      <c r="H195" s="412">
        <f t="shared" si="115"/>
        <v>0.89606510840618081</v>
      </c>
      <c r="I195" s="413">
        <f t="shared" si="112"/>
        <v>2.2751001781935352</v>
      </c>
      <c r="J195" s="410">
        <f t="shared" si="116"/>
        <v>1.082764802570316</v>
      </c>
      <c r="K195" s="411">
        <f t="shared" si="116"/>
        <v>0.83252173261126228</v>
      </c>
      <c r="L195" s="411">
        <f t="shared" si="116"/>
        <v>0.35981364301195712</v>
      </c>
      <c r="M195" s="414">
        <f t="shared" si="116"/>
        <v>0.18073673625030576</v>
      </c>
      <c r="N195" s="413">
        <f t="shared" si="109"/>
        <v>0.17015314960753769</v>
      </c>
      <c r="O195" s="537">
        <f t="shared" si="117"/>
        <v>0.17015314960753769</v>
      </c>
      <c r="P195" s="412">
        <f t="shared" si="117"/>
        <v>0</v>
      </c>
      <c r="Q195" s="413">
        <f t="shared" si="117"/>
        <v>3.6721361220658486E-2</v>
      </c>
    </row>
    <row r="196" spans="1:17">
      <c r="A196" s="506"/>
      <c r="B196" s="152" t="s">
        <v>151</v>
      </c>
      <c r="C196" s="153" t="s">
        <v>305</v>
      </c>
      <c r="D196" s="538">
        <f>D197</f>
        <v>10.29172</v>
      </c>
      <c r="E196" s="155">
        <f t="shared" ref="E196:E240" si="118">SUM(F196:H196)</f>
        <v>3.2321029094640261</v>
      </c>
      <c r="F196" s="156">
        <f t="shared" ref="F196:Q196" si="119">F197</f>
        <v>0.48054971842867444</v>
      </c>
      <c r="G196" s="157">
        <f t="shared" si="119"/>
        <v>0.37582576766616027</v>
      </c>
      <c r="H196" s="158">
        <f t="shared" si="119"/>
        <v>2.3757274233691912</v>
      </c>
      <c r="I196" s="154">
        <f t="shared" si="112"/>
        <v>6.0319477162327519</v>
      </c>
      <c r="J196" s="156">
        <f t="shared" si="119"/>
        <v>2.8707222392585288</v>
      </c>
      <c r="K196" s="157">
        <f t="shared" si="119"/>
        <v>2.2072555801590972</v>
      </c>
      <c r="L196" s="157">
        <f t="shared" si="119"/>
        <v>0.9539698968151259</v>
      </c>
      <c r="M196" s="159">
        <f t="shared" si="119"/>
        <v>0.47918529210877403</v>
      </c>
      <c r="N196" s="154">
        <f t="shared" si="109"/>
        <v>0.45112514693745853</v>
      </c>
      <c r="O196" s="539">
        <f>O197</f>
        <v>0.45112514693745853</v>
      </c>
      <c r="P196" s="158">
        <f t="shared" si="119"/>
        <v>0</v>
      </c>
      <c r="Q196" s="154">
        <f t="shared" si="119"/>
        <v>9.735893525698916E-2</v>
      </c>
    </row>
    <row r="197" spans="1:17" ht="15" thickBot="1">
      <c r="A197" s="506"/>
      <c r="B197" s="180" t="s">
        <v>495</v>
      </c>
      <c r="C197" s="181" t="s">
        <v>307</v>
      </c>
      <c r="D197" s="394">
        <v>10.29172</v>
      </c>
      <c r="E197" s="235">
        <f t="shared" si="118"/>
        <v>3.2321029094640261</v>
      </c>
      <c r="F197" s="236">
        <f>IFERROR($D197*F$242/100, 0)</f>
        <v>0.48054971842867444</v>
      </c>
      <c r="G197" s="237">
        <f>IFERROR($D197*G$242/100, 0)</f>
        <v>0.37582576766616027</v>
      </c>
      <c r="H197" s="238">
        <f>IFERROR($D197*H$242/100, 0)</f>
        <v>2.3757274233691912</v>
      </c>
      <c r="I197" s="234">
        <f t="shared" si="112"/>
        <v>6.0319477162327519</v>
      </c>
      <c r="J197" s="236">
        <f t="shared" ref="J197:Q197" si="120">IFERROR($D197*J$242/100, 0)</f>
        <v>2.8707222392585288</v>
      </c>
      <c r="K197" s="237">
        <f t="shared" si="120"/>
        <v>2.2072555801590972</v>
      </c>
      <c r="L197" s="237">
        <f t="shared" si="120"/>
        <v>0.9539698968151259</v>
      </c>
      <c r="M197" s="239">
        <f t="shared" si="120"/>
        <v>0.47918529210877403</v>
      </c>
      <c r="N197" s="234">
        <f t="shared" si="109"/>
        <v>0.45112514693745853</v>
      </c>
      <c r="O197" s="534">
        <f>IFERROR($D197*O$242/100, 0)</f>
        <v>0.45112514693745853</v>
      </c>
      <c r="P197" s="238">
        <f t="shared" si="120"/>
        <v>0</v>
      </c>
      <c r="Q197" s="234">
        <f t="shared" si="120"/>
        <v>9.735893525698916E-2</v>
      </c>
    </row>
    <row r="198" spans="1:17" s="128" customFormat="1">
      <c r="A198" s="506"/>
      <c r="B198" s="395" t="s">
        <v>153</v>
      </c>
      <c r="C198" s="540" t="s">
        <v>309</v>
      </c>
      <c r="D198" s="541">
        <f>SUM(D199:D203)</f>
        <v>8.8948300000000007</v>
      </c>
      <c r="E198" s="542">
        <f t="shared" si="118"/>
        <v>2.7934112006727645</v>
      </c>
      <c r="F198" s="543">
        <f>SUM(F199:F203)</f>
        <v>0.415324945875998</v>
      </c>
      <c r="G198" s="544">
        <f t="shared" ref="G198:Q198" si="121">SUM(G199:G203)</f>
        <v>0.32481512448939459</v>
      </c>
      <c r="H198" s="545">
        <f t="shared" si="121"/>
        <v>2.0532711303073716</v>
      </c>
      <c r="I198" s="546">
        <f t="shared" si="112"/>
        <v>5.2132344743909256</v>
      </c>
      <c r="J198" s="543">
        <f t="shared" si="121"/>
        <v>2.4810805478019167</v>
      </c>
      <c r="K198" s="544">
        <f t="shared" si="121"/>
        <v>1.907665885980822</v>
      </c>
      <c r="L198" s="544">
        <f t="shared" si="121"/>
        <v>0.8244880406081867</v>
      </c>
      <c r="M198" s="547">
        <f t="shared" si="121"/>
        <v>0.41414571245699328</v>
      </c>
      <c r="N198" s="546">
        <f t="shared" si="109"/>
        <v>0.38989415673315198</v>
      </c>
      <c r="O198" s="548">
        <f>SUM(O199:O203)</f>
        <v>0.38989415673315198</v>
      </c>
      <c r="P198" s="545">
        <f t="shared" si="121"/>
        <v>0</v>
      </c>
      <c r="Q198" s="546">
        <f t="shared" si="121"/>
        <v>8.4144455746165345E-2</v>
      </c>
    </row>
    <row r="199" spans="1:17" s="128" customFormat="1">
      <c r="A199" s="506"/>
      <c r="B199" s="189" t="s">
        <v>496</v>
      </c>
      <c r="C199" s="190" t="s">
        <v>262</v>
      </c>
      <c r="D199" s="399">
        <v>6.6236800000000002</v>
      </c>
      <c r="E199" s="294">
        <f t="shared" si="118"/>
        <v>2.0801591375745438</v>
      </c>
      <c r="F199" s="400">
        <f t="shared" ref="F199:H203" si="122">IFERROR($D199*F$242/100, 0)</f>
        <v>0.30927848396202406</v>
      </c>
      <c r="G199" s="401">
        <f t="shared" si="122"/>
        <v>0.24187887163418675</v>
      </c>
      <c r="H199" s="402">
        <f t="shared" si="122"/>
        <v>1.5290017819783328</v>
      </c>
      <c r="I199" s="298">
        <f t="shared" si="112"/>
        <v>3.882119941958833</v>
      </c>
      <c r="J199" s="400">
        <f t="shared" ref="J199:M203" si="123">IFERROR($D199*J$242/100, 0)</f>
        <v>1.8475770310241566</v>
      </c>
      <c r="K199" s="401">
        <f t="shared" si="123"/>
        <v>1.4205744658024324</v>
      </c>
      <c r="L199" s="401">
        <f t="shared" si="123"/>
        <v>0.61396844513224358</v>
      </c>
      <c r="M199" s="403">
        <f t="shared" si="123"/>
        <v>0.3084003485943112</v>
      </c>
      <c r="N199" s="298">
        <f t="shared" si="109"/>
        <v>0.2903410327201581</v>
      </c>
      <c r="O199" s="549">
        <f t="shared" ref="O199:Q203" si="124">IFERROR($D199*O$242/100, 0)</f>
        <v>0.2903410327201581</v>
      </c>
      <c r="P199" s="402">
        <f t="shared" si="124"/>
        <v>0</v>
      </c>
      <c r="Q199" s="298">
        <f t="shared" si="124"/>
        <v>6.2659539152154733E-2</v>
      </c>
    </row>
    <row r="200" spans="1:17" s="128" customFormat="1">
      <c r="A200" s="506"/>
      <c r="B200" s="189" t="s">
        <v>497</v>
      </c>
      <c r="C200" s="190" t="s">
        <v>266</v>
      </c>
      <c r="D200" s="399">
        <v>2.12818</v>
      </c>
      <c r="E200" s="294">
        <f t="shared" si="118"/>
        <v>0.66835249791707807</v>
      </c>
      <c r="F200" s="400">
        <f t="shared" si="122"/>
        <v>9.937078542416003E-2</v>
      </c>
      <c r="G200" s="401">
        <f t="shared" si="122"/>
        <v>7.7715375295069139E-2</v>
      </c>
      <c r="H200" s="402">
        <f t="shared" si="122"/>
        <v>0.4912663371978489</v>
      </c>
      <c r="I200" s="298">
        <f t="shared" si="112"/>
        <v>1.2473202235129035</v>
      </c>
      <c r="J200" s="400">
        <f t="shared" si="123"/>
        <v>0.59362416147594532</v>
      </c>
      <c r="K200" s="401">
        <f t="shared" si="123"/>
        <v>0.45642877775366875</v>
      </c>
      <c r="L200" s="401">
        <f t="shared" si="123"/>
        <v>0.19726728428328935</v>
      </c>
      <c r="M200" s="403">
        <f t="shared" si="123"/>
        <v>9.9088641642023953E-2</v>
      </c>
      <c r="N200" s="298">
        <f t="shared" si="109"/>
        <v>9.3286206310447678E-2</v>
      </c>
      <c r="O200" s="549">
        <f t="shared" si="124"/>
        <v>9.3286206310447678E-2</v>
      </c>
      <c r="P200" s="402">
        <f t="shared" si="124"/>
        <v>0</v>
      </c>
      <c r="Q200" s="298">
        <f t="shared" si="124"/>
        <v>2.013243061754684E-2</v>
      </c>
    </row>
    <row r="201" spans="1:17" s="128" customFormat="1">
      <c r="A201" s="506"/>
      <c r="B201" s="189" t="s">
        <v>498</v>
      </c>
      <c r="C201" s="303" t="s">
        <v>313</v>
      </c>
      <c r="D201" s="399">
        <v>0</v>
      </c>
      <c r="E201" s="294">
        <f t="shared" si="118"/>
        <v>0</v>
      </c>
      <c r="F201" s="400">
        <f t="shared" si="122"/>
        <v>0</v>
      </c>
      <c r="G201" s="401">
        <f t="shared" si="122"/>
        <v>0</v>
      </c>
      <c r="H201" s="402">
        <f t="shared" si="122"/>
        <v>0</v>
      </c>
      <c r="I201" s="298">
        <f t="shared" si="112"/>
        <v>0</v>
      </c>
      <c r="J201" s="400">
        <f t="shared" si="123"/>
        <v>0</v>
      </c>
      <c r="K201" s="401">
        <f t="shared" si="123"/>
        <v>0</v>
      </c>
      <c r="L201" s="401">
        <f t="shared" si="123"/>
        <v>0</v>
      </c>
      <c r="M201" s="403">
        <f t="shared" si="123"/>
        <v>0</v>
      </c>
      <c r="N201" s="298">
        <f t="shared" si="109"/>
        <v>0</v>
      </c>
      <c r="O201" s="549">
        <f t="shared" si="124"/>
        <v>0</v>
      </c>
      <c r="P201" s="402">
        <f t="shared" si="124"/>
        <v>0</v>
      </c>
      <c r="Q201" s="298">
        <f t="shared" si="124"/>
        <v>0</v>
      </c>
    </row>
    <row r="202" spans="1:17" s="128" customFormat="1">
      <c r="A202" s="506"/>
      <c r="B202" s="189" t="s">
        <v>499</v>
      </c>
      <c r="C202" s="550" t="s">
        <v>264</v>
      </c>
      <c r="D202" s="399">
        <v>0</v>
      </c>
      <c r="E202" s="294">
        <f t="shared" si="118"/>
        <v>0</v>
      </c>
      <c r="F202" s="400">
        <f t="shared" si="122"/>
        <v>0</v>
      </c>
      <c r="G202" s="401">
        <f t="shared" si="122"/>
        <v>0</v>
      </c>
      <c r="H202" s="402">
        <f t="shared" si="122"/>
        <v>0</v>
      </c>
      <c r="I202" s="298">
        <f t="shared" si="112"/>
        <v>0</v>
      </c>
      <c r="J202" s="400">
        <f t="shared" si="123"/>
        <v>0</v>
      </c>
      <c r="K202" s="401">
        <f t="shared" si="123"/>
        <v>0</v>
      </c>
      <c r="L202" s="401">
        <f t="shared" si="123"/>
        <v>0</v>
      </c>
      <c r="M202" s="403">
        <f t="shared" si="123"/>
        <v>0</v>
      </c>
      <c r="N202" s="298">
        <f t="shared" si="109"/>
        <v>0</v>
      </c>
      <c r="O202" s="549">
        <f t="shared" si="124"/>
        <v>0</v>
      </c>
      <c r="P202" s="402">
        <f t="shared" si="124"/>
        <v>0</v>
      </c>
      <c r="Q202" s="298">
        <f t="shared" si="124"/>
        <v>0</v>
      </c>
    </row>
    <row r="203" spans="1:17" s="128" customFormat="1" ht="27" thickBot="1">
      <c r="A203" s="506"/>
      <c r="B203" s="189" t="s">
        <v>500</v>
      </c>
      <c r="C203" s="550" t="s">
        <v>316</v>
      </c>
      <c r="D203" s="399">
        <v>0.14296999999999999</v>
      </c>
      <c r="E203" s="294">
        <f t="shared" si="118"/>
        <v>4.4899565181142867E-2</v>
      </c>
      <c r="F203" s="400">
        <f t="shared" si="122"/>
        <v>6.6756764898139066E-3</v>
      </c>
      <c r="G203" s="401">
        <f t="shared" si="122"/>
        <v>5.2208775601387258E-3</v>
      </c>
      <c r="H203" s="402">
        <f t="shared" si="122"/>
        <v>3.3003011131190238E-2</v>
      </c>
      <c r="I203" s="298">
        <f t="shared" si="112"/>
        <v>8.3794308919189056E-2</v>
      </c>
      <c r="J203" s="400">
        <f t="shared" si="123"/>
        <v>3.9879355301814648E-2</v>
      </c>
      <c r="K203" s="401">
        <f t="shared" si="123"/>
        <v>3.0662642424720658E-2</v>
      </c>
      <c r="L203" s="401">
        <f t="shared" si="123"/>
        <v>1.3252311192653759E-2</v>
      </c>
      <c r="M203" s="403">
        <f t="shared" si="123"/>
        <v>6.6567222206581032E-3</v>
      </c>
      <c r="N203" s="298">
        <f t="shared" si="109"/>
        <v>6.2669177025461674E-3</v>
      </c>
      <c r="O203" s="549">
        <f t="shared" si="124"/>
        <v>6.2669177025461674E-3</v>
      </c>
      <c r="P203" s="402">
        <f t="shared" si="124"/>
        <v>0</v>
      </c>
      <c r="Q203" s="298">
        <f t="shared" si="124"/>
        <v>1.3524859764637725E-3</v>
      </c>
    </row>
    <row r="204" spans="1:17" s="128" customFormat="1" ht="15" thickBot="1">
      <c r="A204" s="506"/>
      <c r="B204" s="395" t="s">
        <v>155</v>
      </c>
      <c r="C204" s="313" t="s">
        <v>318</v>
      </c>
      <c r="D204" s="551">
        <v>12.190533974937344</v>
      </c>
      <c r="E204" s="542">
        <f t="shared" si="118"/>
        <v>3.8284232692217679</v>
      </c>
      <c r="F204" s="543">
        <f>IFERROR($D204*F$243/100, 0)</f>
        <v>0.56921075089016515</v>
      </c>
      <c r="G204" s="544">
        <f>IFERROR($D204*G$243/100, 0)</f>
        <v>0.44516531633111228</v>
      </c>
      <c r="H204" s="545">
        <f>IFERROR($D204*H$243/100, 0)</f>
        <v>2.8140472020004905</v>
      </c>
      <c r="I204" s="546">
        <f t="shared" si="112"/>
        <v>7.1448371671383475</v>
      </c>
      <c r="J204" s="543">
        <f t="shared" ref="J204:Q204" si="125">IFERROR($D204*J$243/100, 0)</f>
        <v>3.4003681590919017</v>
      </c>
      <c r="K204" s="544">
        <f t="shared" si="125"/>
        <v>2.6144924406512717</v>
      </c>
      <c r="L204" s="544">
        <f t="shared" si="125"/>
        <v>1.1299765673951745</v>
      </c>
      <c r="M204" s="547">
        <f t="shared" si="125"/>
        <v>0.56759458902324245</v>
      </c>
      <c r="N204" s="546">
        <f t="shared" si="109"/>
        <v>0.53435736987497606</v>
      </c>
      <c r="O204" s="548">
        <f>IFERROR($D204*O$243/100, 0)</f>
        <v>0.53435736987497606</v>
      </c>
      <c r="P204" s="545">
        <f t="shared" si="125"/>
        <v>0</v>
      </c>
      <c r="Q204" s="546">
        <f t="shared" si="125"/>
        <v>0.11532157967900909</v>
      </c>
    </row>
    <row r="205" spans="1:17" s="128" customFormat="1">
      <c r="A205" s="506"/>
      <c r="B205" s="395" t="s">
        <v>157</v>
      </c>
      <c r="C205" s="540" t="s">
        <v>320</v>
      </c>
      <c r="D205" s="541">
        <f>SUM(D206:D210)</f>
        <v>389.73135999999994</v>
      </c>
      <c r="E205" s="542">
        <f t="shared" si="118"/>
        <v>122.39468840634721</v>
      </c>
      <c r="F205" s="543">
        <f>SUM(F206:F210)</f>
        <v>18.197667183991047</v>
      </c>
      <c r="G205" s="544">
        <f t="shared" ref="G205:Q205" si="126">SUM(G206:G210)</f>
        <v>14.231934754888073</v>
      </c>
      <c r="H205" s="545">
        <f t="shared" si="126"/>
        <v>89.965086467468097</v>
      </c>
      <c r="I205" s="546">
        <f t="shared" si="112"/>
        <v>228.42043768158132</v>
      </c>
      <c r="J205" s="543">
        <f t="shared" si="126"/>
        <v>108.70976692802289</v>
      </c>
      <c r="K205" s="544">
        <f t="shared" si="126"/>
        <v>83.585320930125761</v>
      </c>
      <c r="L205" s="544">
        <f t="shared" si="126"/>
        <v>36.125349823432686</v>
      </c>
      <c r="M205" s="547">
        <f t="shared" si="126"/>
        <v>18.145998490587555</v>
      </c>
      <c r="N205" s="546">
        <f t="shared" si="109"/>
        <v>17.083404624896087</v>
      </c>
      <c r="O205" s="548">
        <f>SUM(O206:O210)</f>
        <v>17.083404624896087</v>
      </c>
      <c r="P205" s="545">
        <f t="shared" si="126"/>
        <v>0</v>
      </c>
      <c r="Q205" s="546">
        <f t="shared" si="126"/>
        <v>3.6868307965877745</v>
      </c>
    </row>
    <row r="206" spans="1:17" s="128" customFormat="1">
      <c r="A206" s="506"/>
      <c r="B206" s="290" t="s">
        <v>501</v>
      </c>
      <c r="C206" s="291" t="s">
        <v>322</v>
      </c>
      <c r="D206" s="399">
        <v>379.77432999999996</v>
      </c>
      <c r="E206" s="294">
        <f t="shared" si="118"/>
        <v>119.26769450905691</v>
      </c>
      <c r="F206" s="400">
        <f t="shared" ref="F206:H210" si="127">IFERROR($D206*F$242/100, 0)</f>
        <v>17.732745094885839</v>
      </c>
      <c r="G206" s="401">
        <f t="shared" si="127"/>
        <v>13.868330960437291</v>
      </c>
      <c r="H206" s="402">
        <f t="shared" si="127"/>
        <v>87.666618453733776</v>
      </c>
      <c r="I206" s="298">
        <f t="shared" si="112"/>
        <v>222.58465081903933</v>
      </c>
      <c r="J206" s="400">
        <f t="shared" ref="J206:M210" si="128">IFERROR($D206*J$242/100, 0)</f>
        <v>105.93240148687561</v>
      </c>
      <c r="K206" s="401">
        <f t="shared" si="128"/>
        <v>81.449846001803621</v>
      </c>
      <c r="L206" s="401">
        <f t="shared" si="128"/>
        <v>35.202403330360092</v>
      </c>
      <c r="M206" s="403">
        <f t="shared" si="128"/>
        <v>17.682396456225387</v>
      </c>
      <c r="N206" s="298">
        <f t="shared" si="109"/>
        <v>16.646950210880675</v>
      </c>
      <c r="O206" s="549">
        <f t="shared" ref="O206:Q210" si="129">IFERROR($D206*O$242/100, 0)</f>
        <v>16.646950210880675</v>
      </c>
      <c r="P206" s="402">
        <f t="shared" si="129"/>
        <v>0</v>
      </c>
      <c r="Q206" s="298">
        <f t="shared" si="129"/>
        <v>3.5926380047976854</v>
      </c>
    </row>
    <row r="207" spans="1:17" s="128" customFormat="1">
      <c r="A207" s="506"/>
      <c r="B207" s="290" t="s">
        <v>502</v>
      </c>
      <c r="C207" s="291" t="s">
        <v>324</v>
      </c>
      <c r="D207" s="399">
        <v>7.1186800000000003</v>
      </c>
      <c r="E207" s="294">
        <f t="shared" si="118"/>
        <v>2.2356133221214116</v>
      </c>
      <c r="F207" s="400">
        <f t="shared" si="127"/>
        <v>0.33239144376098806</v>
      </c>
      <c r="G207" s="401">
        <f t="shared" si="127"/>
        <v>0.25995493229214767</v>
      </c>
      <c r="H207" s="402">
        <f t="shared" si="127"/>
        <v>1.6432669460682758</v>
      </c>
      <c r="I207" s="298">
        <f t="shared" si="112"/>
        <v>4.1722380290750012</v>
      </c>
      <c r="J207" s="400">
        <f t="shared" si="128"/>
        <v>1.9856499195629989</v>
      </c>
      <c r="K207" s="401">
        <f t="shared" si="128"/>
        <v>1.5267366536756697</v>
      </c>
      <c r="L207" s="401">
        <f t="shared" si="128"/>
        <v>0.65985145583633253</v>
      </c>
      <c r="M207" s="403">
        <f t="shared" si="128"/>
        <v>0.33144768369416266</v>
      </c>
      <c r="N207" s="298">
        <f t="shared" si="109"/>
        <v>0.31203876135385994</v>
      </c>
      <c r="O207" s="549">
        <f t="shared" si="129"/>
        <v>0.31203876135385994</v>
      </c>
      <c r="P207" s="402">
        <f t="shared" si="129"/>
        <v>0</v>
      </c>
      <c r="Q207" s="298">
        <f t="shared" si="129"/>
        <v>6.7342203755565017E-2</v>
      </c>
    </row>
    <row r="208" spans="1:17" s="128" customFormat="1">
      <c r="A208" s="506"/>
      <c r="B208" s="290" t="s">
        <v>503</v>
      </c>
      <c r="C208" s="291" t="s">
        <v>326</v>
      </c>
      <c r="D208" s="399">
        <v>0.28417000000000003</v>
      </c>
      <c r="E208" s="294">
        <f t="shared" si="118"/>
        <v>8.9243263884209084E-2</v>
      </c>
      <c r="F208" s="400">
        <f t="shared" si="127"/>
        <v>1.3268706638528489E-2</v>
      </c>
      <c r="G208" s="401">
        <f t="shared" si="127"/>
        <v>1.0377119509439899E-2</v>
      </c>
      <c r="H208" s="402">
        <f t="shared" si="127"/>
        <v>6.5597437736240702E-2</v>
      </c>
      <c r="I208" s="298">
        <f t="shared" si="112"/>
        <v>0.16655122589050822</v>
      </c>
      <c r="J208" s="400">
        <f t="shared" si="128"/>
        <v>7.9264995426429813E-2</v>
      </c>
      <c r="K208" s="401">
        <f t="shared" si="128"/>
        <v>6.0945674601894602E-2</v>
      </c>
      <c r="L208" s="401">
        <f t="shared" si="128"/>
        <v>2.6340555862183809E-2</v>
      </c>
      <c r="M208" s="403">
        <f t="shared" si="128"/>
        <v>1.3231032758231892E-2</v>
      </c>
      <c r="N208" s="298">
        <f t="shared" si="109"/>
        <v>1.2456249587553645E-2</v>
      </c>
      <c r="O208" s="549">
        <f t="shared" si="129"/>
        <v>1.2456249587553645E-2</v>
      </c>
      <c r="P208" s="402">
        <f t="shared" si="129"/>
        <v>0</v>
      </c>
      <c r="Q208" s="298">
        <f t="shared" si="129"/>
        <v>2.6882278794971696E-3</v>
      </c>
    </row>
    <row r="209" spans="1:17" s="128" customFormat="1">
      <c r="A209" s="506"/>
      <c r="B209" s="290" t="s">
        <v>504</v>
      </c>
      <c r="C209" s="291" t="s">
        <v>328</v>
      </c>
      <c r="D209" s="399">
        <v>0</v>
      </c>
      <c r="E209" s="294">
        <f t="shared" si="118"/>
        <v>0</v>
      </c>
      <c r="F209" s="400">
        <f t="shared" si="127"/>
        <v>0</v>
      </c>
      <c r="G209" s="401">
        <f t="shared" si="127"/>
        <v>0</v>
      </c>
      <c r="H209" s="402">
        <f t="shared" si="127"/>
        <v>0</v>
      </c>
      <c r="I209" s="298">
        <f t="shared" ref="I209" si="130">SUM(J209:L209)</f>
        <v>0</v>
      </c>
      <c r="J209" s="400">
        <f t="shared" si="128"/>
        <v>0</v>
      </c>
      <c r="K209" s="401">
        <f t="shared" si="128"/>
        <v>0</v>
      </c>
      <c r="L209" s="401">
        <f t="shared" si="128"/>
        <v>0</v>
      </c>
      <c r="M209" s="403">
        <f t="shared" si="128"/>
        <v>0</v>
      </c>
      <c r="N209" s="298">
        <f t="shared" si="109"/>
        <v>0</v>
      </c>
      <c r="O209" s="549">
        <f t="shared" si="129"/>
        <v>0</v>
      </c>
      <c r="P209" s="402">
        <f t="shared" si="129"/>
        <v>0</v>
      </c>
      <c r="Q209" s="298">
        <f t="shared" si="129"/>
        <v>0</v>
      </c>
    </row>
    <row r="210" spans="1:17" s="128" customFormat="1" ht="15" thickBot="1">
      <c r="A210" s="506"/>
      <c r="B210" s="290" t="s">
        <v>505</v>
      </c>
      <c r="C210" s="291" t="s">
        <v>330</v>
      </c>
      <c r="D210" s="399">
        <v>2.5541799999999997</v>
      </c>
      <c r="E210" s="294">
        <f t="shared" si="118"/>
        <v>0.80213731128468557</v>
      </c>
      <c r="F210" s="400">
        <f t="shared" si="127"/>
        <v>0.11926193870569268</v>
      </c>
      <c r="G210" s="401">
        <f t="shared" si="127"/>
        <v>9.3271742649193051E-2</v>
      </c>
      <c r="H210" s="402">
        <f t="shared" si="127"/>
        <v>0.58960362992979987</v>
      </c>
      <c r="I210" s="298">
        <f t="shared" si="112"/>
        <v>1.4969976075765148</v>
      </c>
      <c r="J210" s="400">
        <f t="shared" si="128"/>
        <v>0.71245052615785776</v>
      </c>
      <c r="K210" s="401">
        <f t="shared" si="128"/>
        <v>0.54779260004457586</v>
      </c>
      <c r="L210" s="401">
        <f t="shared" si="128"/>
        <v>0.23675448137408112</v>
      </c>
      <c r="M210" s="403">
        <f t="shared" si="128"/>
        <v>0.11892331790977488</v>
      </c>
      <c r="N210" s="298">
        <f t="shared" si="109"/>
        <v>0.11195940307399713</v>
      </c>
      <c r="O210" s="549">
        <f t="shared" si="129"/>
        <v>0.11195940307399713</v>
      </c>
      <c r="P210" s="402">
        <f t="shared" si="129"/>
        <v>0</v>
      </c>
      <c r="Q210" s="298">
        <f t="shared" si="129"/>
        <v>2.41623601550272E-2</v>
      </c>
    </row>
    <row r="211" spans="1:17" s="128" customFormat="1">
      <c r="A211" s="506"/>
      <c r="B211" s="395" t="s">
        <v>159</v>
      </c>
      <c r="C211" s="540" t="s">
        <v>332</v>
      </c>
      <c r="D211" s="541">
        <f>SUM(D212:D214)</f>
        <v>4.0134299999999996</v>
      </c>
      <c r="E211" s="542">
        <f t="shared" si="118"/>
        <v>1.2604131068402762</v>
      </c>
      <c r="F211" s="543">
        <f>SUM(F212:F214)</f>
        <v>0.18739847726455783</v>
      </c>
      <c r="G211" s="544">
        <f>SUM(G212:G214)</f>
        <v>0.14655960429591922</v>
      </c>
      <c r="H211" s="545">
        <f>SUM(H212:H214)</f>
        <v>0.92645502527979917</v>
      </c>
      <c r="I211" s="546">
        <f t="shared" si="112"/>
        <v>2.352259867423522</v>
      </c>
      <c r="J211" s="543">
        <f t="shared" ref="J211:Q211" si="131">SUM(J212:J214)</f>
        <v>1.1194866122190805</v>
      </c>
      <c r="K211" s="544">
        <f t="shared" si="131"/>
        <v>0.86075658520421516</v>
      </c>
      <c r="L211" s="544">
        <f t="shared" si="131"/>
        <v>0.37201667000022648</v>
      </c>
      <c r="M211" s="547">
        <f t="shared" si="131"/>
        <v>0.18686639618140766</v>
      </c>
      <c r="N211" s="546">
        <f t="shared" si="109"/>
        <v>0.17592386874819799</v>
      </c>
      <c r="O211" s="548">
        <f>SUM(O212:O214)</f>
        <v>0.17592386874819799</v>
      </c>
      <c r="P211" s="545">
        <f t="shared" si="131"/>
        <v>0</v>
      </c>
      <c r="Q211" s="546">
        <f t="shared" si="131"/>
        <v>3.7966760806595785E-2</v>
      </c>
    </row>
    <row r="212" spans="1:17" s="128" customFormat="1">
      <c r="A212" s="506"/>
      <c r="B212" s="290" t="s">
        <v>506</v>
      </c>
      <c r="C212" s="291" t="s">
        <v>338</v>
      </c>
      <c r="D212" s="399">
        <v>1.5589999999999999</v>
      </c>
      <c r="E212" s="294">
        <f t="shared" si="118"/>
        <v>0.48960216910821674</v>
      </c>
      <c r="F212" s="400">
        <f t="shared" ref="F212:H214" si="132">IFERROR($D212*F$242/100, 0)</f>
        <v>7.2794150154716949E-2</v>
      </c>
      <c r="G212" s="401">
        <f t="shared" si="132"/>
        <v>5.6930461749012201E-2</v>
      </c>
      <c r="H212" s="402">
        <f t="shared" si="132"/>
        <v>0.35987755720448761</v>
      </c>
      <c r="I212" s="298">
        <f t="shared" si="112"/>
        <v>0.91372545012950801</v>
      </c>
      <c r="J212" s="400">
        <f t="shared" ref="J212:Q214" si="133">IFERROR($D212*J$242/100, 0)</f>
        <v>0.4348598651152622</v>
      </c>
      <c r="K212" s="401">
        <f t="shared" si="133"/>
        <v>0.33435727453409464</v>
      </c>
      <c r="L212" s="401">
        <f t="shared" si="133"/>
        <v>0.14450831048015117</v>
      </c>
      <c r="M212" s="403">
        <f t="shared" si="133"/>
        <v>7.2587465496299811E-2</v>
      </c>
      <c r="N212" s="298">
        <f t="shared" si="109"/>
        <v>6.8336886747355913E-2</v>
      </c>
      <c r="O212" s="549">
        <f>IFERROR($D212*O$242/100, 0)</f>
        <v>6.8336886747355913E-2</v>
      </c>
      <c r="P212" s="402">
        <f t="shared" si="133"/>
        <v>0</v>
      </c>
      <c r="Q212" s="298">
        <f t="shared" si="133"/>
        <v>1.4748028518619442E-2</v>
      </c>
    </row>
    <row r="213" spans="1:17" s="128" customFormat="1">
      <c r="A213" s="506"/>
      <c r="B213" s="302" t="s">
        <v>507</v>
      </c>
      <c r="C213" s="291" t="s">
        <v>340</v>
      </c>
      <c r="D213" s="552">
        <v>1.2614799999999999</v>
      </c>
      <c r="E213" s="294">
        <f t="shared" si="118"/>
        <v>0.39616635297410729</v>
      </c>
      <c r="F213" s="400">
        <f t="shared" si="132"/>
        <v>5.8902093994337601E-2</v>
      </c>
      <c r="G213" s="401">
        <f t="shared" si="132"/>
        <v>4.6065836361221246E-2</v>
      </c>
      <c r="H213" s="402">
        <f t="shared" si="132"/>
        <v>0.29119842261854845</v>
      </c>
      <c r="I213" s="298">
        <f t="shared" si="112"/>
        <v>0.73934982734404853</v>
      </c>
      <c r="J213" s="400">
        <f t="shared" si="133"/>
        <v>0.35187108572520903</v>
      </c>
      <c r="K213" s="401">
        <f t="shared" si="133"/>
        <v>0.27054843789561878</v>
      </c>
      <c r="L213" s="401">
        <f t="shared" si="133"/>
        <v>0.1169303037232207</v>
      </c>
      <c r="M213" s="403">
        <f t="shared" si="133"/>
        <v>5.8734853094465862E-2</v>
      </c>
      <c r="N213" s="298">
        <f t="shared" si="109"/>
        <v>5.5295455993620617E-2</v>
      </c>
      <c r="O213" s="549">
        <f>IFERROR($D213*O$242/100, 0)</f>
        <v>5.5295455993620617E-2</v>
      </c>
      <c r="P213" s="402">
        <f t="shared" si="133"/>
        <v>0</v>
      </c>
      <c r="Q213" s="298">
        <f t="shared" si="133"/>
        <v>1.1933510593757572E-2</v>
      </c>
    </row>
    <row r="214" spans="1:17" s="128" customFormat="1" ht="15" thickBot="1">
      <c r="A214" s="506"/>
      <c r="B214" s="302" t="s">
        <v>508</v>
      </c>
      <c r="C214" s="303" t="s">
        <v>344</v>
      </c>
      <c r="D214" s="399">
        <v>1.19295</v>
      </c>
      <c r="E214" s="294">
        <f t="shared" si="118"/>
        <v>0.37464458475795204</v>
      </c>
      <c r="F214" s="400">
        <f t="shared" si="132"/>
        <v>5.5702233115503257E-2</v>
      </c>
      <c r="G214" s="401">
        <f t="shared" si="132"/>
        <v>4.3563306185685768E-2</v>
      </c>
      <c r="H214" s="402">
        <f t="shared" si="132"/>
        <v>0.27537904545676301</v>
      </c>
      <c r="I214" s="298">
        <f t="shared" si="112"/>
        <v>0.6991845899499658</v>
      </c>
      <c r="J214" s="400">
        <f t="shared" si="133"/>
        <v>0.3327556613786094</v>
      </c>
      <c r="K214" s="401">
        <f t="shared" si="133"/>
        <v>0.25585087277450175</v>
      </c>
      <c r="L214" s="401">
        <f t="shared" si="133"/>
        <v>0.1105780557968546</v>
      </c>
      <c r="M214" s="403">
        <f t="shared" si="133"/>
        <v>5.5544077590641984E-2</v>
      </c>
      <c r="N214" s="298">
        <f t="shared" si="109"/>
        <v>5.2291526007221451E-2</v>
      </c>
      <c r="O214" s="549">
        <f>IFERROR($D214*O$242/100, 0)</f>
        <v>5.2291526007221451E-2</v>
      </c>
      <c r="P214" s="402">
        <f t="shared" si="133"/>
        <v>0</v>
      </c>
      <c r="Q214" s="298">
        <f t="shared" si="133"/>
        <v>1.1285221694218773E-2</v>
      </c>
    </row>
    <row r="215" spans="1:17">
      <c r="A215" s="506"/>
      <c r="B215" s="268" t="s">
        <v>161</v>
      </c>
      <c r="C215" s="230" t="s">
        <v>346</v>
      </c>
      <c r="D215" s="526">
        <f>SUM(D216:D217)</f>
        <v>2.1678299999999999</v>
      </c>
      <c r="E215" s="527">
        <f t="shared" si="118"/>
        <v>0.68080453512371097</v>
      </c>
      <c r="F215" s="528">
        <f>SUM(F216:F217)</f>
        <v>0.1012221568504811</v>
      </c>
      <c r="G215" s="529">
        <f t="shared" ref="G215:Q215" si="134">SUM(G216:G217)</f>
        <v>7.916328601241894E-2</v>
      </c>
      <c r="H215" s="530">
        <f t="shared" si="134"/>
        <v>0.50041909226081094</v>
      </c>
      <c r="I215" s="531">
        <f t="shared" si="112"/>
        <v>1.2705589753394813</v>
      </c>
      <c r="J215" s="528">
        <f t="shared" si="134"/>
        <v>0.60468393931547071</v>
      </c>
      <c r="K215" s="529">
        <f t="shared" si="134"/>
        <v>0.46493247623684825</v>
      </c>
      <c r="L215" s="529">
        <f t="shared" si="134"/>
        <v>0.20094255978716233</v>
      </c>
      <c r="M215" s="532">
        <f t="shared" si="134"/>
        <v>0.10093475646365851</v>
      </c>
      <c r="N215" s="531">
        <f t="shared" si="109"/>
        <v>9.5024216290904795E-2</v>
      </c>
      <c r="O215" s="533">
        <f>SUM(O216:O217)</f>
        <v>9.5024216290904795E-2</v>
      </c>
      <c r="P215" s="530">
        <f t="shared" si="134"/>
        <v>0</v>
      </c>
      <c r="Q215" s="531">
        <f t="shared" si="134"/>
        <v>2.0507516782244252E-2</v>
      </c>
    </row>
    <row r="216" spans="1:17">
      <c r="A216" s="506"/>
      <c r="B216" s="288" t="s">
        <v>509</v>
      </c>
      <c r="C216" s="289" t="s">
        <v>348</v>
      </c>
      <c r="D216" s="394">
        <v>2.1678299999999999</v>
      </c>
      <c r="E216" s="235">
        <f t="shared" si="118"/>
        <v>0.68080453512371097</v>
      </c>
      <c r="F216" s="236">
        <f t="shared" ref="F216:H217" si="135">IFERROR($D216*F$242/100, 0)</f>
        <v>0.1012221568504811</v>
      </c>
      <c r="G216" s="237">
        <f t="shared" si="135"/>
        <v>7.916328601241894E-2</v>
      </c>
      <c r="H216" s="238">
        <f t="shared" si="135"/>
        <v>0.50041909226081094</v>
      </c>
      <c r="I216" s="234">
        <f t="shared" si="112"/>
        <v>1.2705589753394813</v>
      </c>
      <c r="J216" s="236">
        <f t="shared" ref="J216:Q217" si="136">IFERROR($D216*J$242/100, 0)</f>
        <v>0.60468393931547071</v>
      </c>
      <c r="K216" s="237">
        <f t="shared" si="136"/>
        <v>0.46493247623684825</v>
      </c>
      <c r="L216" s="237">
        <f t="shared" si="136"/>
        <v>0.20094255978716233</v>
      </c>
      <c r="M216" s="239">
        <f t="shared" si="136"/>
        <v>0.10093475646365851</v>
      </c>
      <c r="N216" s="234">
        <f t="shared" si="109"/>
        <v>9.5024216290904795E-2</v>
      </c>
      <c r="O216" s="534">
        <f>IFERROR($D216*O$242/100, 0)</f>
        <v>9.5024216290904795E-2</v>
      </c>
      <c r="P216" s="238">
        <f t="shared" si="136"/>
        <v>0</v>
      </c>
      <c r="Q216" s="234">
        <f t="shared" si="136"/>
        <v>2.0507516782244252E-2</v>
      </c>
    </row>
    <row r="217" spans="1:17" ht="15" thickBot="1">
      <c r="A217" s="506"/>
      <c r="B217" s="327" t="s">
        <v>510</v>
      </c>
      <c r="C217" s="280" t="s">
        <v>511</v>
      </c>
      <c r="D217" s="394">
        <v>0</v>
      </c>
      <c r="E217" s="235">
        <f t="shared" si="118"/>
        <v>0</v>
      </c>
      <c r="F217" s="236">
        <f t="shared" si="135"/>
        <v>0</v>
      </c>
      <c r="G217" s="237">
        <f t="shared" si="135"/>
        <v>0</v>
      </c>
      <c r="H217" s="238">
        <f t="shared" si="135"/>
        <v>0</v>
      </c>
      <c r="I217" s="234">
        <f t="shared" si="112"/>
        <v>0</v>
      </c>
      <c r="J217" s="236">
        <f t="shared" si="136"/>
        <v>0</v>
      </c>
      <c r="K217" s="237">
        <f t="shared" si="136"/>
        <v>0</v>
      </c>
      <c r="L217" s="237">
        <f t="shared" si="136"/>
        <v>0</v>
      </c>
      <c r="M217" s="239">
        <f t="shared" si="136"/>
        <v>0</v>
      </c>
      <c r="N217" s="234">
        <f t="shared" si="109"/>
        <v>0</v>
      </c>
      <c r="O217" s="534">
        <f>IFERROR($D217*O$242/100, 0)</f>
        <v>0</v>
      </c>
      <c r="P217" s="238">
        <f t="shared" si="136"/>
        <v>0</v>
      </c>
      <c r="Q217" s="234">
        <f t="shared" si="136"/>
        <v>0</v>
      </c>
    </row>
    <row r="218" spans="1:17">
      <c r="A218" s="506"/>
      <c r="B218" s="268" t="s">
        <v>163</v>
      </c>
      <c r="C218" s="230" t="s">
        <v>352</v>
      </c>
      <c r="D218" s="526">
        <f>SUM(D219:D233)</f>
        <v>102.01499</v>
      </c>
      <c r="E218" s="527">
        <f t="shared" si="118"/>
        <v>32.037691074761412</v>
      </c>
      <c r="F218" s="528">
        <f>SUM(F219:F233)</f>
        <v>4.7633704298216468</v>
      </c>
      <c r="G218" s="529">
        <f t="shared" ref="G218:Q218" si="137">SUM(G219:G233)</f>
        <v>3.7253114086086354</v>
      </c>
      <c r="H218" s="530">
        <f t="shared" si="137"/>
        <v>23.549009236331131</v>
      </c>
      <c r="I218" s="531">
        <f t="shared" si="112"/>
        <v>59.79069445651524</v>
      </c>
      <c r="J218" s="528">
        <f t="shared" si="137"/>
        <v>28.455564330426441</v>
      </c>
      <c r="K218" s="529">
        <f t="shared" si="137"/>
        <v>21.879059665184684</v>
      </c>
      <c r="L218" s="529">
        <f t="shared" si="137"/>
        <v>9.4560704609041153</v>
      </c>
      <c r="M218" s="532">
        <f t="shared" si="137"/>
        <v>4.7498457772484741</v>
      </c>
      <c r="N218" s="531">
        <f t="shared" si="109"/>
        <v>4.4717041809895113</v>
      </c>
      <c r="O218" s="533">
        <f>SUM(O219:O233)</f>
        <v>4.4717041809895113</v>
      </c>
      <c r="P218" s="530">
        <f t="shared" si="137"/>
        <v>0</v>
      </c>
      <c r="Q218" s="531">
        <f t="shared" si="137"/>
        <v>0.96505451048536084</v>
      </c>
    </row>
    <row r="219" spans="1:17">
      <c r="A219" s="506"/>
      <c r="B219" s="288" t="s">
        <v>512</v>
      </c>
      <c r="C219" s="289" t="s">
        <v>354</v>
      </c>
      <c r="D219" s="394">
        <v>5.85</v>
      </c>
      <c r="E219" s="235">
        <f t="shared" si="118"/>
        <v>1.8371858173720768</v>
      </c>
      <c r="F219" s="236">
        <f t="shared" ref="F219:H234" si="138">IFERROR($D219*F$242/100, 0)</f>
        <v>0.27315316126048367</v>
      </c>
      <c r="G219" s="237">
        <f t="shared" si="138"/>
        <v>0.21362617141226514</v>
      </c>
      <c r="H219" s="238">
        <f t="shared" si="138"/>
        <v>1.350406484699328</v>
      </c>
      <c r="I219" s="234">
        <f t="shared" si="112"/>
        <v>3.4286683022819897</v>
      </c>
      <c r="J219" s="236">
        <f t="shared" ref="J219:Q234" si="139">IFERROR($D219*J$242/100, 0)</f>
        <v>1.6317705009135881</v>
      </c>
      <c r="K219" s="237">
        <f t="shared" si="139"/>
        <v>1.2546440385018947</v>
      </c>
      <c r="L219" s="237">
        <f t="shared" si="139"/>
        <v>0.54225376286650695</v>
      </c>
      <c r="M219" s="239">
        <f t="shared" si="139"/>
        <v>0.27237759663460798</v>
      </c>
      <c r="N219" s="234">
        <f t="shared" si="109"/>
        <v>0.2564277020346582</v>
      </c>
      <c r="O219" s="534">
        <f t="shared" ref="O219:O234" si="140">IFERROR($D219*O$242/100, 0)</f>
        <v>0.2564277020346582</v>
      </c>
      <c r="P219" s="238">
        <f t="shared" si="139"/>
        <v>0</v>
      </c>
      <c r="Q219" s="234">
        <f t="shared" si="139"/>
        <v>5.5340581676666931E-2</v>
      </c>
    </row>
    <row r="220" spans="1:17">
      <c r="A220" s="506"/>
      <c r="B220" s="288" t="s">
        <v>513</v>
      </c>
      <c r="C220" s="289" t="s">
        <v>356</v>
      </c>
      <c r="D220" s="394">
        <v>0.87624000000000002</v>
      </c>
      <c r="E220" s="235">
        <f t="shared" si="118"/>
        <v>0.27518217104514681</v>
      </c>
      <c r="F220" s="236">
        <f t="shared" si="138"/>
        <v>4.091414120049338E-2</v>
      </c>
      <c r="G220" s="237">
        <f t="shared" si="138"/>
        <v>3.199791392107406E-2</v>
      </c>
      <c r="H220" s="238">
        <f t="shared" si="138"/>
        <v>0.20227011592357935</v>
      </c>
      <c r="I220" s="234">
        <f t="shared" si="112"/>
        <v>0.51356176293873013</v>
      </c>
      <c r="J220" s="236">
        <f t="shared" si="139"/>
        <v>0.24441411687530298</v>
      </c>
      <c r="K220" s="237">
        <f t="shared" si="139"/>
        <v>0.18792637475160689</v>
      </c>
      <c r="L220" s="237">
        <f t="shared" si="139"/>
        <v>8.1221271311820165E-2</v>
      </c>
      <c r="M220" s="239">
        <f t="shared" si="139"/>
        <v>4.079797355130068E-2</v>
      </c>
      <c r="N220" s="234">
        <f t="shared" si="109"/>
        <v>3.8408924723222035E-2</v>
      </c>
      <c r="O220" s="534">
        <f t="shared" si="140"/>
        <v>3.8408924723222035E-2</v>
      </c>
      <c r="P220" s="238">
        <f t="shared" si="139"/>
        <v>0</v>
      </c>
      <c r="Q220" s="234">
        <f t="shared" si="139"/>
        <v>8.2891677416004495E-3</v>
      </c>
    </row>
    <row r="221" spans="1:17">
      <c r="A221" s="506"/>
      <c r="B221" s="288" t="s">
        <v>514</v>
      </c>
      <c r="C221" s="289" t="s">
        <v>358</v>
      </c>
      <c r="D221" s="394">
        <v>9.15</v>
      </c>
      <c r="E221" s="235">
        <f t="shared" si="118"/>
        <v>2.8735470476845308</v>
      </c>
      <c r="F221" s="236">
        <f t="shared" si="138"/>
        <v>0.42723955992024382</v>
      </c>
      <c r="G221" s="237">
        <f t="shared" si="138"/>
        <v>0.33413324246533782</v>
      </c>
      <c r="H221" s="238">
        <f t="shared" si="138"/>
        <v>2.1121742452989491</v>
      </c>
      <c r="I221" s="234">
        <f t="shared" si="112"/>
        <v>5.3627888830564459</v>
      </c>
      <c r="J221" s="236">
        <f t="shared" si="139"/>
        <v>2.552256424505869</v>
      </c>
      <c r="K221" s="237">
        <f t="shared" si="139"/>
        <v>1.9623919576568096</v>
      </c>
      <c r="L221" s="237">
        <f t="shared" si="139"/>
        <v>0.84814050089376736</v>
      </c>
      <c r="M221" s="239">
        <f t="shared" si="139"/>
        <v>0.42602649730028441</v>
      </c>
      <c r="N221" s="234">
        <f t="shared" si="109"/>
        <v>0.40107922625933717</v>
      </c>
      <c r="O221" s="534">
        <f t="shared" si="140"/>
        <v>0.40107922625933717</v>
      </c>
      <c r="P221" s="238">
        <f t="shared" si="139"/>
        <v>0</v>
      </c>
      <c r="Q221" s="234">
        <f t="shared" si="139"/>
        <v>8.6558345699402128E-2</v>
      </c>
    </row>
    <row r="222" spans="1:17">
      <c r="A222" s="506"/>
      <c r="B222" s="288" t="s">
        <v>515</v>
      </c>
      <c r="C222" s="289" t="s">
        <v>360</v>
      </c>
      <c r="D222" s="394">
        <v>11.207790000000001</v>
      </c>
      <c r="E222" s="235">
        <f t="shared" si="118"/>
        <v>3.5197936465101867</v>
      </c>
      <c r="F222" s="236">
        <f t="shared" si="138"/>
        <v>0.52332363576814311</v>
      </c>
      <c r="G222" s="237">
        <f t="shared" si="138"/>
        <v>0.40927816541755069</v>
      </c>
      <c r="H222" s="238">
        <f t="shared" si="138"/>
        <v>2.5871918453244929</v>
      </c>
      <c r="I222" s="234">
        <f t="shared" si="112"/>
        <v>6.5688537284842843</v>
      </c>
      <c r="J222" s="236">
        <f t="shared" si="139"/>
        <v>3.1262463422964624</v>
      </c>
      <c r="K222" s="237">
        <f t="shared" si="139"/>
        <v>2.4037242578258375</v>
      </c>
      <c r="L222" s="237">
        <f t="shared" si="139"/>
        <v>1.0388831283619844</v>
      </c>
      <c r="M222" s="239">
        <f t="shared" si="139"/>
        <v>0.52183776133083659</v>
      </c>
      <c r="N222" s="234">
        <f t="shared" si="109"/>
        <v>0.49127997172427729</v>
      </c>
      <c r="O222" s="534">
        <f t="shared" si="140"/>
        <v>0.49127997172427729</v>
      </c>
      <c r="P222" s="238">
        <f t="shared" si="139"/>
        <v>0</v>
      </c>
      <c r="Q222" s="234">
        <f t="shared" si="139"/>
        <v>0.10602489195041555</v>
      </c>
    </row>
    <row r="223" spans="1:17">
      <c r="A223" s="506"/>
      <c r="B223" s="288" t="s">
        <v>516</v>
      </c>
      <c r="C223" s="289" t="s">
        <v>362</v>
      </c>
      <c r="D223" s="394">
        <v>0</v>
      </c>
      <c r="E223" s="235">
        <f t="shared" si="118"/>
        <v>0</v>
      </c>
      <c r="F223" s="236">
        <f t="shared" si="138"/>
        <v>0</v>
      </c>
      <c r="G223" s="237">
        <f t="shared" si="138"/>
        <v>0</v>
      </c>
      <c r="H223" s="238">
        <f t="shared" si="138"/>
        <v>0</v>
      </c>
      <c r="I223" s="234">
        <f t="shared" si="112"/>
        <v>0</v>
      </c>
      <c r="J223" s="236">
        <f t="shared" si="139"/>
        <v>0</v>
      </c>
      <c r="K223" s="237">
        <f t="shared" si="139"/>
        <v>0</v>
      </c>
      <c r="L223" s="237">
        <f t="shared" si="139"/>
        <v>0</v>
      </c>
      <c r="M223" s="239">
        <f t="shared" si="139"/>
        <v>0</v>
      </c>
      <c r="N223" s="234">
        <f t="shared" si="109"/>
        <v>0</v>
      </c>
      <c r="O223" s="534">
        <f t="shared" si="140"/>
        <v>0</v>
      </c>
      <c r="P223" s="238">
        <f t="shared" si="139"/>
        <v>0</v>
      </c>
      <c r="Q223" s="234">
        <f t="shared" si="139"/>
        <v>0</v>
      </c>
    </row>
    <row r="224" spans="1:17">
      <c r="A224" s="506"/>
      <c r="B224" s="288" t="s">
        <v>517</v>
      </c>
      <c r="C224" s="289" t="s">
        <v>364</v>
      </c>
      <c r="D224" s="394">
        <v>7.9815399999999999</v>
      </c>
      <c r="E224" s="235">
        <f t="shared" si="118"/>
        <v>2.5065935194509277</v>
      </c>
      <c r="F224" s="236">
        <f t="shared" si="138"/>
        <v>0.37268083465418828</v>
      </c>
      <c r="G224" s="237">
        <f t="shared" si="138"/>
        <v>0.29146424481604288</v>
      </c>
      <c r="H224" s="238">
        <f t="shared" si="138"/>
        <v>1.8424484399806966</v>
      </c>
      <c r="I224" s="234">
        <f t="shared" si="112"/>
        <v>4.6779578122044088</v>
      </c>
      <c r="J224" s="236">
        <f t="shared" si="139"/>
        <v>2.2263318844208273</v>
      </c>
      <c r="K224" s="237">
        <f t="shared" si="139"/>
        <v>1.711793432318703</v>
      </c>
      <c r="L224" s="237">
        <f t="shared" si="139"/>
        <v>0.7398324954648785</v>
      </c>
      <c r="M224" s="239">
        <f t="shared" si="139"/>
        <v>0.37162268079367339</v>
      </c>
      <c r="N224" s="234">
        <f t="shared" si="109"/>
        <v>0.34986118989704373</v>
      </c>
      <c r="O224" s="534">
        <f t="shared" si="140"/>
        <v>0.34986118989704373</v>
      </c>
      <c r="P224" s="238">
        <f t="shared" si="139"/>
        <v>0</v>
      </c>
      <c r="Q224" s="234">
        <f t="shared" si="139"/>
        <v>7.5504797653946007E-2</v>
      </c>
    </row>
    <row r="225" spans="1:17">
      <c r="A225" s="506"/>
      <c r="B225" s="288" t="s">
        <v>518</v>
      </c>
      <c r="C225" s="289" t="s">
        <v>366</v>
      </c>
      <c r="D225" s="394">
        <v>32.3919</v>
      </c>
      <c r="E225" s="235">
        <f t="shared" si="118"/>
        <v>10.172639192775142</v>
      </c>
      <c r="F225" s="236">
        <f t="shared" si="138"/>
        <v>1.5124700656809338</v>
      </c>
      <c r="G225" s="237">
        <f t="shared" si="138"/>
        <v>1.1828645438921286</v>
      </c>
      <c r="H225" s="238">
        <f t="shared" si="138"/>
        <v>7.4773045832020797</v>
      </c>
      <c r="I225" s="234">
        <f t="shared" si="112"/>
        <v>18.984800133450939</v>
      </c>
      <c r="J225" s="236">
        <f t="shared" si="139"/>
        <v>9.0352387843663013</v>
      </c>
      <c r="K225" s="237">
        <f t="shared" si="139"/>
        <v>6.9470605522648761</v>
      </c>
      <c r="L225" s="237">
        <f t="shared" si="139"/>
        <v>3.0025007968197617</v>
      </c>
      <c r="M225" s="239">
        <f t="shared" si="139"/>
        <v>1.5081757046886426</v>
      </c>
      <c r="N225" s="234">
        <f t="shared" si="109"/>
        <v>1.4198599113737513</v>
      </c>
      <c r="O225" s="534">
        <f t="shared" si="140"/>
        <v>1.4198599113737513</v>
      </c>
      <c r="P225" s="238">
        <f t="shared" si="139"/>
        <v>0</v>
      </c>
      <c r="Q225" s="234">
        <f t="shared" si="139"/>
        <v>0.30642505771152606</v>
      </c>
    </row>
    <row r="226" spans="1:17">
      <c r="A226" s="506"/>
      <c r="B226" s="288" t="s">
        <v>519</v>
      </c>
      <c r="C226" s="289" t="s">
        <v>368</v>
      </c>
      <c r="D226" s="394">
        <v>1.7202</v>
      </c>
      <c r="E226" s="235">
        <f t="shared" si="118"/>
        <v>0.54022684496469164</v>
      </c>
      <c r="F226" s="236">
        <f t="shared" si="138"/>
        <v>8.0321037265005821E-2</v>
      </c>
      <c r="G226" s="237">
        <f t="shared" si="138"/>
        <v>6.2817049583483511E-2</v>
      </c>
      <c r="H226" s="238">
        <f t="shared" si="138"/>
        <v>0.39708875811620237</v>
      </c>
      <c r="I226" s="234">
        <f t="shared" si="112"/>
        <v>1.0082043100146116</v>
      </c>
      <c r="J226" s="236">
        <f t="shared" si="139"/>
        <v>0.47982420780710328</v>
      </c>
      <c r="K226" s="237">
        <f t="shared" si="139"/>
        <v>0.36892968803948023</v>
      </c>
      <c r="L226" s="237">
        <f t="shared" si="139"/>
        <v>0.15945041416802824</v>
      </c>
      <c r="M226" s="239">
        <f t="shared" si="139"/>
        <v>8.0092981492453461E-2</v>
      </c>
      <c r="N226" s="234">
        <f t="shared" si="109"/>
        <v>7.5402894536755388E-2</v>
      </c>
      <c r="O226" s="534">
        <f t="shared" si="140"/>
        <v>7.5402894536755388E-2</v>
      </c>
      <c r="P226" s="238">
        <f t="shared" si="139"/>
        <v>0</v>
      </c>
      <c r="Q226" s="234">
        <f t="shared" si="139"/>
        <v>1.6272968991487599E-2</v>
      </c>
    </row>
    <row r="227" spans="1:17">
      <c r="A227" s="506"/>
      <c r="B227" s="288" t="s">
        <v>520</v>
      </c>
      <c r="C227" s="289" t="s">
        <v>370</v>
      </c>
      <c r="D227" s="394">
        <v>2.5264000000000002</v>
      </c>
      <c r="E227" s="235">
        <f t="shared" si="118"/>
        <v>0.79341303401860097</v>
      </c>
      <c r="F227" s="236">
        <f t="shared" si="138"/>
        <v>0.117964811386066</v>
      </c>
      <c r="G227" s="237">
        <f t="shared" si="138"/>
        <v>9.2257292214691755E-2</v>
      </c>
      <c r="H227" s="238">
        <f t="shared" si="138"/>
        <v>0.5831909304178432</v>
      </c>
      <c r="I227" s="234">
        <f t="shared" si="112"/>
        <v>1.4807158288692683</v>
      </c>
      <c r="J227" s="236">
        <f t="shared" si="139"/>
        <v>0.70470170829198109</v>
      </c>
      <c r="K227" s="237">
        <f t="shared" si="139"/>
        <v>0.54183464937969006</v>
      </c>
      <c r="L227" s="237">
        <f t="shared" si="139"/>
        <v>0.23417947119759713</v>
      </c>
      <c r="M227" s="239">
        <f t="shared" si="139"/>
        <v>0.11762987352780747</v>
      </c>
      <c r="N227" s="234">
        <f t="shared" si="109"/>
        <v>0.11074170024279667</v>
      </c>
      <c r="O227" s="534">
        <f t="shared" si="140"/>
        <v>0.11074170024279667</v>
      </c>
      <c r="P227" s="238">
        <f t="shared" si="139"/>
        <v>0</v>
      </c>
      <c r="Q227" s="234">
        <f t="shared" si="139"/>
        <v>2.3899563341526722E-2</v>
      </c>
    </row>
    <row r="228" spans="1:17">
      <c r="A228" s="506"/>
      <c r="B228" s="288" t="s">
        <v>521</v>
      </c>
      <c r="C228" s="289" t="s">
        <v>372</v>
      </c>
      <c r="D228" s="394">
        <v>3.3</v>
      </c>
      <c r="E228" s="235">
        <f t="shared" si="118"/>
        <v>1.0363612303124536</v>
      </c>
      <c r="F228" s="236">
        <f t="shared" si="138"/>
        <v>0.15408639865976004</v>
      </c>
      <c r="G228" s="237">
        <f t="shared" si="138"/>
        <v>0.12050707105307266</v>
      </c>
      <c r="H228" s="238">
        <f t="shared" si="138"/>
        <v>0.76176776059962092</v>
      </c>
      <c r="I228" s="234">
        <f t="shared" si="112"/>
        <v>1.9341205807744557</v>
      </c>
      <c r="J228" s="236">
        <f t="shared" si="139"/>
        <v>0.92048592359228054</v>
      </c>
      <c r="K228" s="237">
        <f t="shared" si="139"/>
        <v>0.70774791915491486</v>
      </c>
      <c r="L228" s="237">
        <f t="shared" si="139"/>
        <v>0.3058867380272603</v>
      </c>
      <c r="M228" s="239">
        <f t="shared" si="139"/>
        <v>0.15364890066567632</v>
      </c>
      <c r="N228" s="234">
        <f t="shared" si="109"/>
        <v>0.14465152422467897</v>
      </c>
      <c r="O228" s="534">
        <f t="shared" si="140"/>
        <v>0.14465152422467897</v>
      </c>
      <c r="P228" s="238">
        <f t="shared" si="139"/>
        <v>0</v>
      </c>
      <c r="Q228" s="234">
        <f t="shared" si="139"/>
        <v>3.1217764022735191E-2</v>
      </c>
    </row>
    <row r="229" spans="1:17">
      <c r="A229" s="506"/>
      <c r="B229" s="288" t="s">
        <v>522</v>
      </c>
      <c r="C229" s="289" t="s">
        <v>374</v>
      </c>
      <c r="D229" s="394">
        <v>0</v>
      </c>
      <c r="E229" s="235">
        <f t="shared" si="118"/>
        <v>0</v>
      </c>
      <c r="F229" s="236">
        <f t="shared" si="138"/>
        <v>0</v>
      </c>
      <c r="G229" s="237">
        <f t="shared" si="138"/>
        <v>0</v>
      </c>
      <c r="H229" s="238">
        <f t="shared" si="138"/>
        <v>0</v>
      </c>
      <c r="I229" s="234">
        <f t="shared" si="112"/>
        <v>0</v>
      </c>
      <c r="J229" s="236">
        <f t="shared" si="139"/>
        <v>0</v>
      </c>
      <c r="K229" s="237">
        <f t="shared" si="139"/>
        <v>0</v>
      </c>
      <c r="L229" s="237">
        <f t="shared" si="139"/>
        <v>0</v>
      </c>
      <c r="M229" s="239">
        <f t="shared" si="139"/>
        <v>0</v>
      </c>
      <c r="N229" s="234">
        <f t="shared" si="109"/>
        <v>0</v>
      </c>
      <c r="O229" s="534">
        <f t="shared" si="140"/>
        <v>0</v>
      </c>
      <c r="P229" s="238">
        <f t="shared" si="139"/>
        <v>0</v>
      </c>
      <c r="Q229" s="234">
        <f t="shared" si="139"/>
        <v>0</v>
      </c>
    </row>
    <row r="230" spans="1:17">
      <c r="A230" s="506"/>
      <c r="B230" s="288" t="s">
        <v>523</v>
      </c>
      <c r="C230" s="289" t="s">
        <v>376</v>
      </c>
      <c r="D230" s="394">
        <v>26.055310000000002</v>
      </c>
      <c r="E230" s="235">
        <f t="shared" si="118"/>
        <v>8.182640341749206</v>
      </c>
      <c r="F230" s="236">
        <f t="shared" si="138"/>
        <v>1.2165966314738281</v>
      </c>
      <c r="G230" s="237">
        <f t="shared" si="138"/>
        <v>0.95146942226661668</v>
      </c>
      <c r="H230" s="238">
        <f t="shared" si="138"/>
        <v>6.0145742880087605</v>
      </c>
      <c r="I230" s="234">
        <f t="shared" si="112"/>
        <v>15.270942821048026</v>
      </c>
      <c r="J230" s="236">
        <f t="shared" si="139"/>
        <v>7.2677412393433896</v>
      </c>
      <c r="K230" s="237">
        <f t="shared" si="139"/>
        <v>5.5880580107382567</v>
      </c>
      <c r="L230" s="237">
        <f t="shared" si="139"/>
        <v>2.4151435709663809</v>
      </c>
      <c r="M230" s="239">
        <f t="shared" si="139"/>
        <v>1.2131423448495162</v>
      </c>
      <c r="N230" s="234">
        <f t="shared" si="109"/>
        <v>1.1421031229231882</v>
      </c>
      <c r="O230" s="534">
        <f t="shared" si="140"/>
        <v>1.1421031229231882</v>
      </c>
      <c r="P230" s="238">
        <f t="shared" si="139"/>
        <v>0</v>
      </c>
      <c r="Q230" s="234">
        <f t="shared" si="139"/>
        <v>0.24648136943006438</v>
      </c>
    </row>
    <row r="231" spans="1:17">
      <c r="A231" s="506"/>
      <c r="B231" s="288" t="s">
        <v>524</v>
      </c>
      <c r="C231" s="289" t="s">
        <v>378</v>
      </c>
      <c r="D231" s="394">
        <v>0.65620000000000001</v>
      </c>
      <c r="E231" s="235">
        <f t="shared" si="118"/>
        <v>0.20607886040334308</v>
      </c>
      <c r="F231" s="236">
        <f t="shared" si="138"/>
        <v>3.063984690925289E-2</v>
      </c>
      <c r="G231" s="237">
        <f t="shared" si="138"/>
        <v>2.3962648492432206E-2</v>
      </c>
      <c r="H231" s="238">
        <f t="shared" si="138"/>
        <v>0.15147636500165798</v>
      </c>
      <c r="I231" s="234">
        <f t="shared" si="112"/>
        <v>0.38459694700127212</v>
      </c>
      <c r="J231" s="236">
        <f t="shared" si="139"/>
        <v>0.18303723123068316</v>
      </c>
      <c r="K231" s="237">
        <f t="shared" si="139"/>
        <v>0.14073460137862279</v>
      </c>
      <c r="L231" s="237">
        <f t="shared" si="139"/>
        <v>6.0825114391966126E-2</v>
      </c>
      <c r="M231" s="239">
        <f t="shared" si="139"/>
        <v>3.0552851096005092E-2</v>
      </c>
      <c r="N231" s="234">
        <f t="shared" si="109"/>
        <v>2.8763736423101319E-2</v>
      </c>
      <c r="O231" s="534">
        <f t="shared" si="140"/>
        <v>2.8763736423101319E-2</v>
      </c>
      <c r="P231" s="238">
        <f t="shared" si="139"/>
        <v>0</v>
      </c>
      <c r="Q231" s="234">
        <f t="shared" si="139"/>
        <v>6.2076050762784338E-3</v>
      </c>
    </row>
    <row r="232" spans="1:17">
      <c r="A232" s="506"/>
      <c r="B232" s="327" t="s">
        <v>525</v>
      </c>
      <c r="C232" s="280" t="s">
        <v>526</v>
      </c>
      <c r="D232" s="553">
        <v>0</v>
      </c>
      <c r="E232" s="235">
        <f t="shared" si="118"/>
        <v>0</v>
      </c>
      <c r="F232" s="236">
        <f t="shared" si="138"/>
        <v>0</v>
      </c>
      <c r="G232" s="237">
        <f t="shared" si="138"/>
        <v>0</v>
      </c>
      <c r="H232" s="238">
        <f t="shared" si="138"/>
        <v>0</v>
      </c>
      <c r="I232" s="234">
        <f t="shared" si="112"/>
        <v>0</v>
      </c>
      <c r="J232" s="236">
        <f t="shared" si="139"/>
        <v>0</v>
      </c>
      <c r="K232" s="237">
        <f t="shared" si="139"/>
        <v>0</v>
      </c>
      <c r="L232" s="237">
        <f t="shared" si="139"/>
        <v>0</v>
      </c>
      <c r="M232" s="239">
        <f t="shared" si="139"/>
        <v>0</v>
      </c>
      <c r="N232" s="234">
        <f t="shared" si="109"/>
        <v>0</v>
      </c>
      <c r="O232" s="534">
        <f t="shared" si="140"/>
        <v>0</v>
      </c>
      <c r="P232" s="238">
        <f t="shared" si="139"/>
        <v>0</v>
      </c>
      <c r="Q232" s="234">
        <f t="shared" si="139"/>
        <v>0</v>
      </c>
    </row>
    <row r="233" spans="1:17" ht="15" thickBot="1">
      <c r="A233" s="506"/>
      <c r="B233" s="341" t="s">
        <v>527</v>
      </c>
      <c r="C233" s="342" t="s">
        <v>380</v>
      </c>
      <c r="D233" s="394">
        <v>0.29941000000000001</v>
      </c>
      <c r="E233" s="235">
        <f t="shared" si="118"/>
        <v>9.4029368475106595E-2</v>
      </c>
      <c r="F233" s="236">
        <f t="shared" si="138"/>
        <v>1.3980305643248108E-2</v>
      </c>
      <c r="G233" s="237">
        <f t="shared" si="138"/>
        <v>1.093364307393954E-2</v>
      </c>
      <c r="H233" s="238">
        <f t="shared" si="138"/>
        <v>6.9115419757918947E-2</v>
      </c>
      <c r="I233" s="234">
        <f t="shared" si="112"/>
        <v>0.17548334639081206</v>
      </c>
      <c r="J233" s="236">
        <f t="shared" si="139"/>
        <v>8.3515966782655979E-2</v>
      </c>
      <c r="K233" s="237">
        <f t="shared" si="139"/>
        <v>6.4214183173991843E-2</v>
      </c>
      <c r="L233" s="237">
        <f t="shared" si="139"/>
        <v>2.7753196434164247E-2</v>
      </c>
      <c r="M233" s="239">
        <f t="shared" si="139"/>
        <v>1.3940611317669742E-2</v>
      </c>
      <c r="N233" s="234">
        <f t="shared" si="109"/>
        <v>1.3124276626700343E-2</v>
      </c>
      <c r="O233" s="534">
        <f t="shared" si="140"/>
        <v>1.3124276626700343E-2</v>
      </c>
      <c r="P233" s="238">
        <f t="shared" si="139"/>
        <v>0</v>
      </c>
      <c r="Q233" s="234">
        <f t="shared" si="139"/>
        <v>2.8323971897112558E-3</v>
      </c>
    </row>
    <row r="234" spans="1:17" ht="15" thickBot="1">
      <c r="A234" s="506"/>
      <c r="B234" s="268" t="s">
        <v>165</v>
      </c>
      <c r="C234" s="230" t="s">
        <v>382</v>
      </c>
      <c r="D234" s="554">
        <v>114.32453</v>
      </c>
      <c r="E234" s="527">
        <f t="shared" si="118"/>
        <v>35.903488050210008</v>
      </c>
      <c r="F234" s="528">
        <f t="shared" si="138"/>
        <v>5.3381379109605147</v>
      </c>
      <c r="G234" s="529">
        <f t="shared" si="138"/>
        <v>4.1748225029754957</v>
      </c>
      <c r="H234" s="530">
        <f t="shared" si="138"/>
        <v>26.390527636273998</v>
      </c>
      <c r="I234" s="531">
        <f t="shared" si="112"/>
        <v>67.005280715262629</v>
      </c>
      <c r="J234" s="528">
        <f t="shared" si="139"/>
        <v>31.889127450394962</v>
      </c>
      <c r="K234" s="529">
        <f t="shared" si="139"/>
        <v>24.519075216928378</v>
      </c>
      <c r="L234" s="529">
        <f t="shared" si="139"/>
        <v>10.597078047939291</v>
      </c>
      <c r="M234" s="532">
        <f t="shared" si="139"/>
        <v>5.3229813192788278</v>
      </c>
      <c r="N234" s="531">
        <f t="shared" si="109"/>
        <v>5.0112780365969813</v>
      </c>
      <c r="O234" s="533">
        <f t="shared" si="140"/>
        <v>5.0112780365969813</v>
      </c>
      <c r="P234" s="555">
        <f t="shared" si="139"/>
        <v>0</v>
      </c>
      <c r="Q234" s="531">
        <f t="shared" si="139"/>
        <v>1.0815018786515485</v>
      </c>
    </row>
    <row r="235" spans="1:17">
      <c r="A235" s="506"/>
      <c r="B235" s="268" t="s">
        <v>167</v>
      </c>
      <c r="C235" s="230" t="s">
        <v>384</v>
      </c>
      <c r="D235" s="526">
        <f>SUM(D236:D240)</f>
        <v>67.143599999999992</v>
      </c>
      <c r="E235" s="527">
        <f t="shared" si="118"/>
        <v>21.086370879880988</v>
      </c>
      <c r="F235" s="528">
        <f>SUM(F236:F240)</f>
        <v>3.135125914258019</v>
      </c>
      <c r="G235" s="529">
        <f t="shared" ref="G235:Q235" si="141">SUM(G236:G240)</f>
        <v>2.4519025987754812</v>
      </c>
      <c r="H235" s="530">
        <f t="shared" si="141"/>
        <v>15.499342366847486</v>
      </c>
      <c r="I235" s="531">
        <f t="shared" si="112"/>
        <v>39.352672311299315</v>
      </c>
      <c r="J235" s="528">
        <f t="shared" si="141"/>
        <v>18.728708684639585</v>
      </c>
      <c r="K235" s="529">
        <f t="shared" si="141"/>
        <v>14.400225207445438</v>
      </c>
      <c r="L235" s="529">
        <f t="shared" si="141"/>
        <v>6.2237384192142891</v>
      </c>
      <c r="M235" s="532">
        <f t="shared" si="141"/>
        <v>3.1262243414351221</v>
      </c>
      <c r="N235" s="531">
        <f t="shared" si="109"/>
        <v>2.9431588127067139</v>
      </c>
      <c r="O235" s="533">
        <f>SUM(O236:O240)</f>
        <v>2.9431588127067139</v>
      </c>
      <c r="P235" s="530">
        <f t="shared" si="141"/>
        <v>0</v>
      </c>
      <c r="Q235" s="531">
        <f t="shared" si="141"/>
        <v>0.63517365467785525</v>
      </c>
    </row>
    <row r="236" spans="1:17">
      <c r="A236" s="506"/>
      <c r="B236" s="556" t="s">
        <v>528</v>
      </c>
      <c r="C236" s="424" t="s">
        <v>386</v>
      </c>
      <c r="D236" s="557">
        <v>0</v>
      </c>
      <c r="E236" s="558">
        <f t="shared" si="118"/>
        <v>0</v>
      </c>
      <c r="F236" s="559">
        <f t="shared" ref="F236:H240" si="142">IFERROR($D236*F$242/100, 0)</f>
        <v>0</v>
      </c>
      <c r="G236" s="560">
        <f t="shared" si="142"/>
        <v>0</v>
      </c>
      <c r="H236" s="561">
        <f t="shared" si="142"/>
        <v>0</v>
      </c>
      <c r="I236" s="232">
        <f t="shared" si="112"/>
        <v>0</v>
      </c>
      <c r="J236" s="559">
        <f t="shared" ref="J236:Q240" si="143">IFERROR($D236*J$242/100, 0)</f>
        <v>0</v>
      </c>
      <c r="K236" s="560">
        <f t="shared" si="143"/>
        <v>0</v>
      </c>
      <c r="L236" s="560">
        <f t="shared" si="143"/>
        <v>0</v>
      </c>
      <c r="M236" s="562">
        <f t="shared" si="143"/>
        <v>0</v>
      </c>
      <c r="N236" s="232">
        <f t="shared" si="109"/>
        <v>0</v>
      </c>
      <c r="O236" s="563">
        <f>IFERROR($D236*O$242/100, 0)</f>
        <v>0</v>
      </c>
      <c r="P236" s="561">
        <f t="shared" si="143"/>
        <v>0</v>
      </c>
      <c r="Q236" s="232">
        <f t="shared" si="143"/>
        <v>0</v>
      </c>
    </row>
    <row r="237" spans="1:17">
      <c r="A237" s="506"/>
      <c r="B237" s="423" t="s">
        <v>529</v>
      </c>
      <c r="C237" s="431" t="s">
        <v>388</v>
      </c>
      <c r="D237" s="557">
        <v>2.2574299999999998</v>
      </c>
      <c r="E237" s="558">
        <f t="shared" si="118"/>
        <v>0.70894331277098244</v>
      </c>
      <c r="F237" s="559">
        <f t="shared" si="142"/>
        <v>0.10540583603833398</v>
      </c>
      <c r="G237" s="560">
        <f t="shared" si="142"/>
        <v>8.2435235577981145E-2</v>
      </c>
      <c r="H237" s="561">
        <f t="shared" si="142"/>
        <v>0.5211022411546673</v>
      </c>
      <c r="I237" s="232">
        <f t="shared" si="112"/>
        <v>1.3230732795932361</v>
      </c>
      <c r="J237" s="559">
        <f t="shared" si="143"/>
        <v>0.62967652681664288</v>
      </c>
      <c r="K237" s="560">
        <f t="shared" si="143"/>
        <v>0.4841489045872362</v>
      </c>
      <c r="L237" s="560">
        <f t="shared" si="143"/>
        <v>0.20924784818935702</v>
      </c>
      <c r="M237" s="562">
        <f t="shared" si="143"/>
        <v>0.10510655691809627</v>
      </c>
      <c r="N237" s="232">
        <f t="shared" si="109"/>
        <v>9.8951724342580927E-2</v>
      </c>
      <c r="O237" s="563">
        <f>IFERROR($D237*O$242/100, 0)</f>
        <v>9.8951724342580927E-2</v>
      </c>
      <c r="P237" s="561">
        <f t="shared" si="143"/>
        <v>0</v>
      </c>
      <c r="Q237" s="232">
        <f t="shared" si="143"/>
        <v>2.1355126375103967E-2</v>
      </c>
    </row>
    <row r="238" spans="1:17">
      <c r="A238" s="506"/>
      <c r="B238" s="290" t="s">
        <v>530</v>
      </c>
      <c r="C238" s="289" t="s">
        <v>390</v>
      </c>
      <c r="D238" s="557">
        <v>0</v>
      </c>
      <c r="E238" s="558">
        <f t="shared" si="118"/>
        <v>0</v>
      </c>
      <c r="F238" s="559">
        <f t="shared" si="142"/>
        <v>0</v>
      </c>
      <c r="G238" s="560">
        <f t="shared" si="142"/>
        <v>0</v>
      </c>
      <c r="H238" s="561">
        <f t="shared" si="142"/>
        <v>0</v>
      </c>
      <c r="I238" s="232">
        <f t="shared" si="112"/>
        <v>0</v>
      </c>
      <c r="J238" s="559">
        <f t="shared" si="143"/>
        <v>0</v>
      </c>
      <c r="K238" s="560">
        <f t="shared" si="143"/>
        <v>0</v>
      </c>
      <c r="L238" s="560">
        <f t="shared" si="143"/>
        <v>0</v>
      </c>
      <c r="M238" s="562">
        <f t="shared" si="143"/>
        <v>0</v>
      </c>
      <c r="N238" s="232">
        <f t="shared" si="109"/>
        <v>0</v>
      </c>
      <c r="O238" s="563">
        <f>IFERROR($D238*O$242/100, 0)</f>
        <v>0</v>
      </c>
      <c r="P238" s="561">
        <f t="shared" si="143"/>
        <v>0</v>
      </c>
      <c r="Q238" s="232">
        <f t="shared" si="143"/>
        <v>0</v>
      </c>
    </row>
    <row r="239" spans="1:17">
      <c r="A239" s="506"/>
      <c r="B239" s="288" t="s">
        <v>531</v>
      </c>
      <c r="C239" s="280" t="s">
        <v>392</v>
      </c>
      <c r="D239" s="564">
        <v>64.886169999999993</v>
      </c>
      <c r="E239" s="565">
        <f t="shared" si="118"/>
        <v>20.377427567110004</v>
      </c>
      <c r="F239" s="566">
        <f t="shared" si="142"/>
        <v>3.0297200782196851</v>
      </c>
      <c r="G239" s="567">
        <f t="shared" si="142"/>
        <v>2.3694673631975003</v>
      </c>
      <c r="H239" s="568">
        <f t="shared" si="142"/>
        <v>14.978240125692819</v>
      </c>
      <c r="I239" s="569">
        <f t="shared" si="112"/>
        <v>38.029599031706077</v>
      </c>
      <c r="J239" s="566">
        <f t="shared" si="143"/>
        <v>18.099032157822943</v>
      </c>
      <c r="K239" s="567">
        <f t="shared" si="143"/>
        <v>13.916076302858201</v>
      </c>
      <c r="L239" s="567">
        <f t="shared" si="143"/>
        <v>6.0144905710249317</v>
      </c>
      <c r="M239" s="570">
        <f t="shared" si="143"/>
        <v>3.0211177845170258</v>
      </c>
      <c r="N239" s="569">
        <f t="shared" ref="N239:N240" si="144">O239+P239</f>
        <v>2.8442070883641328</v>
      </c>
      <c r="O239" s="571">
        <f>IFERROR($D239*O$242/100, 0)</f>
        <v>2.8442070883641328</v>
      </c>
      <c r="P239" s="568">
        <f t="shared" si="143"/>
        <v>0</v>
      </c>
      <c r="Q239" s="569">
        <f t="shared" si="143"/>
        <v>0.6138185283027513</v>
      </c>
    </row>
    <row r="240" spans="1:17" ht="15" thickBot="1">
      <c r="A240" s="506"/>
      <c r="B240" s="288" t="s">
        <v>532</v>
      </c>
      <c r="C240" s="280" t="s">
        <v>384</v>
      </c>
      <c r="D240" s="564">
        <v>0</v>
      </c>
      <c r="E240" s="565">
        <f t="shared" si="118"/>
        <v>0</v>
      </c>
      <c r="F240" s="566">
        <f t="shared" si="142"/>
        <v>0</v>
      </c>
      <c r="G240" s="567">
        <f t="shared" si="142"/>
        <v>0</v>
      </c>
      <c r="H240" s="568">
        <f t="shared" si="142"/>
        <v>0</v>
      </c>
      <c r="I240" s="569">
        <f t="shared" si="112"/>
        <v>0</v>
      </c>
      <c r="J240" s="566">
        <f t="shared" si="143"/>
        <v>0</v>
      </c>
      <c r="K240" s="567">
        <f t="shared" si="143"/>
        <v>0</v>
      </c>
      <c r="L240" s="567">
        <f t="shared" si="143"/>
        <v>0</v>
      </c>
      <c r="M240" s="570">
        <f t="shared" si="143"/>
        <v>0</v>
      </c>
      <c r="N240" s="569">
        <f t="shared" si="144"/>
        <v>0</v>
      </c>
      <c r="O240" s="571">
        <f>IFERROR($D240*O$242/100, 0)</f>
        <v>0</v>
      </c>
      <c r="P240" s="568">
        <f t="shared" si="143"/>
        <v>0</v>
      </c>
      <c r="Q240" s="569">
        <f t="shared" si="143"/>
        <v>0</v>
      </c>
    </row>
    <row r="241" spans="2:17" ht="91.5" thickBot="1">
      <c r="B241" s="133" t="s">
        <v>191</v>
      </c>
      <c r="C241" s="134" t="s">
        <v>533</v>
      </c>
      <c r="D241" s="135" t="s">
        <v>447</v>
      </c>
      <c r="E241" s="136" t="s">
        <v>239</v>
      </c>
      <c r="F241" s="137" t="s">
        <v>240</v>
      </c>
      <c r="G241" s="138" t="s">
        <v>241</v>
      </c>
      <c r="H241" s="139" t="s">
        <v>242</v>
      </c>
      <c r="I241" s="135" t="s">
        <v>243</v>
      </c>
      <c r="J241" s="137" t="s">
        <v>244</v>
      </c>
      <c r="K241" s="138" t="s">
        <v>245</v>
      </c>
      <c r="L241" s="139" t="s">
        <v>246</v>
      </c>
      <c r="M241" s="141" t="s">
        <v>247</v>
      </c>
      <c r="N241" s="135" t="s">
        <v>248</v>
      </c>
      <c r="O241" s="142" t="s">
        <v>249</v>
      </c>
      <c r="P241" s="139" t="s">
        <v>250</v>
      </c>
      <c r="Q241" s="136" t="s">
        <v>251</v>
      </c>
    </row>
    <row r="242" spans="2:17" ht="26">
      <c r="B242" s="572" t="s">
        <v>193</v>
      </c>
      <c r="C242" s="573" t="s">
        <v>534</v>
      </c>
      <c r="D242" s="154">
        <f>ROUND((O242+E242+I242+M242+P242+Q242),1)</f>
        <v>100</v>
      </c>
      <c r="E242" s="155">
        <f>SUM(F242:H242)</f>
        <v>31.40488576704405</v>
      </c>
      <c r="F242" s="156">
        <f>IFERROR((F25+F26)/($D$25+$D$26)*100, 0)</f>
        <v>4.6692848078715166</v>
      </c>
      <c r="G242" s="157">
        <f>IFERROR((G25+G26)/($D$25+$D$26)*100, 0)</f>
        <v>3.6517294258506867</v>
      </c>
      <c r="H242" s="158">
        <f>IFERROR((H25+H26)/($D$25+$D$26)*100, 0)</f>
        <v>23.083871533321847</v>
      </c>
      <c r="I242" s="154">
        <f>SUM(J242:L242)</f>
        <v>58.609714568922897</v>
      </c>
      <c r="J242" s="156">
        <f t="shared" ref="J242:Q242" si="145">IFERROR((J25+J26)/($D$25+$D$26)*100, 0)</f>
        <v>27.893512836129712</v>
      </c>
      <c r="K242" s="157">
        <f t="shared" si="145"/>
        <v>21.446906641058028</v>
      </c>
      <c r="L242" s="157">
        <f t="shared" si="145"/>
        <v>9.2692950917351613</v>
      </c>
      <c r="M242" s="159">
        <f t="shared" si="145"/>
        <v>4.6560272928992825</v>
      </c>
      <c r="N242" s="154">
        <f t="shared" ref="N242:N243" si="146">O242+P242</f>
        <v>4.3833795219599692</v>
      </c>
      <c r="O242" s="160">
        <f>IFERROR((O25+O26)/($D$25+$D$26)*100, 0)</f>
        <v>4.3833795219599692</v>
      </c>
      <c r="P242" s="158">
        <f t="shared" si="145"/>
        <v>0</v>
      </c>
      <c r="Q242" s="154">
        <f t="shared" si="145"/>
        <v>0.94599284917379367</v>
      </c>
    </row>
    <row r="243" spans="2:17" ht="15" thickBot="1">
      <c r="B243" s="574" t="s">
        <v>195</v>
      </c>
      <c r="C243" s="575" t="s">
        <v>535</v>
      </c>
      <c r="D243" s="576">
        <f>ROUND((O243+E243+I243+M243+P243+Q243),1)</f>
        <v>100</v>
      </c>
      <c r="E243" s="577">
        <f>SUM(F243:H243)</f>
        <v>31.404885767044057</v>
      </c>
      <c r="F243" s="578">
        <f>'6'!F164</f>
        <v>4.6692848078715166</v>
      </c>
      <c r="G243" s="579">
        <f>'6'!G164</f>
        <v>3.6517294258506858</v>
      </c>
      <c r="H243" s="580">
        <f>'6'!H164</f>
        <v>23.083871533321854</v>
      </c>
      <c r="I243" s="576">
        <f>SUM(J243:L243)</f>
        <v>58.609714568922897</v>
      </c>
      <c r="J243" s="578">
        <f>'6'!J164</f>
        <v>27.893512836129712</v>
      </c>
      <c r="K243" s="579">
        <f>'6'!K164</f>
        <v>21.446906641058025</v>
      </c>
      <c r="L243" s="579">
        <f>'6'!L164</f>
        <v>9.2692950917351613</v>
      </c>
      <c r="M243" s="581">
        <f>'6'!M164</f>
        <v>4.6560272928992825</v>
      </c>
      <c r="N243" s="576">
        <f t="shared" si="146"/>
        <v>4.3833795219599683</v>
      </c>
      <c r="O243" s="582">
        <f>'6'!O164</f>
        <v>4.3833795219599683</v>
      </c>
      <c r="P243" s="580">
        <f>'6'!P164</f>
        <v>0</v>
      </c>
      <c r="Q243" s="576">
        <f>'6'!Q164</f>
        <v>0.94599284917379367</v>
      </c>
    </row>
    <row r="245" spans="2:17">
      <c r="C245" s="583" t="s">
        <v>536</v>
      </c>
    </row>
    <row r="246" spans="2:17">
      <c r="C246" s="584" t="s">
        <v>537</v>
      </c>
    </row>
    <row r="247" spans="2:17">
      <c r="C247" s="585" t="s">
        <v>538</v>
      </c>
      <c r="D247" s="586">
        <f>$E$24+$I$24+$M$24+$O$24-$E$51-$I$51-$M$51-$O$51-$E$61-$I$61-$M$61-$O$61-$E$62-$I$62-$M$62-$O$62-E63-I63-M63-O63-$E$64-$I$64-$M$64-$O$64-$E$107-$I$107-$M$107-$O$107-$E$114-$I$114-$M$114-$O$114-$E$204-$M$204-$I$204-$O$204-$E$211-$I$211-$M$211-$O$211</f>
        <v>3167.8879391326609</v>
      </c>
    </row>
    <row r="248" spans="2:17">
      <c r="C248" s="585" t="s">
        <v>539</v>
      </c>
      <c r="D248" s="586">
        <f>$E$24+$I$24+$M$24-$E$51-$I$51-$M$51-$E$61-$I$61-$M$61-$E$62-$I$62-$M$62-$E$64-$I$64-$M$64-$E$107-$I$107-$M$107-$E$114-$I$114-$M$114-$E$204-$M$204-$I$204-$E$211-$I$211-$M$211-E63-I63-M63</f>
        <v>3006.0389329426689</v>
      </c>
    </row>
  </sheetData>
  <conditionalFormatting sqref="D11:Q243">
    <cfRule type="cellIs" dxfId="0" priority="2" operator="lessThan">
      <formula>0</formula>
    </cfRule>
  </conditionalFormatting>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4810-2C7D-4970-A246-7714D7D1E03D}">
  <sheetPr>
    <tabColor theme="0" tint="-0.14999847407452621"/>
    <pageSetUpPr fitToPage="1"/>
  </sheetPr>
  <dimension ref="A1:Q55"/>
  <sheetViews>
    <sheetView zoomScale="85" zoomScaleNormal="85" workbookViewId="0">
      <selection activeCell="B9" sqref="B9"/>
    </sheetView>
  </sheetViews>
  <sheetFormatPr defaultRowHeight="14.5"/>
  <cols>
    <col min="2" max="2" width="8.7265625" style="128"/>
    <col min="3" max="3" width="51.54296875" style="128" customWidth="1"/>
    <col min="4" max="4" width="22.54296875" style="128" customWidth="1"/>
    <col min="5" max="5" width="22.7265625" style="128" customWidth="1"/>
    <col min="6" max="6" width="11.453125" customWidth="1"/>
    <col min="11" max="11" width="11.54296875" customWidth="1"/>
    <col min="12" max="12" width="12" bestFit="1" customWidth="1"/>
  </cols>
  <sheetData>
    <row r="1" spans="1:17">
      <c r="A1" s="587"/>
      <c r="B1" s="587"/>
      <c r="C1" s="587"/>
      <c r="D1" s="588"/>
      <c r="E1" s="587"/>
    </row>
    <row r="2" spans="1:17" ht="69">
      <c r="A2" s="587"/>
      <c r="B2" s="587"/>
      <c r="C2" s="587"/>
      <c r="D2" s="588"/>
      <c r="E2" s="589" t="s">
        <v>540</v>
      </c>
    </row>
    <row r="3" spans="1:17">
      <c r="A3" s="587"/>
      <c r="B3" s="587"/>
      <c r="C3" s="32" t="s">
        <v>1331</v>
      </c>
      <c r="D3" s="588"/>
      <c r="E3" s="587"/>
    </row>
    <row r="4" spans="1:17">
      <c r="A4" s="587"/>
      <c r="B4" s="587"/>
      <c r="C4" s="32" t="s">
        <v>1332</v>
      </c>
      <c r="D4" s="588"/>
      <c r="E4" s="587"/>
    </row>
    <row r="5" spans="1:17">
      <c r="A5" s="587"/>
      <c r="B5" s="587"/>
      <c r="C5" s="587"/>
      <c r="D5" s="588"/>
      <c r="E5" s="587"/>
    </row>
    <row r="6" spans="1:17" ht="45.5">
      <c r="A6" s="587"/>
      <c r="B6" s="587"/>
      <c r="C6" s="590" t="s">
        <v>541</v>
      </c>
      <c r="D6" s="588"/>
      <c r="E6" s="587"/>
    </row>
    <row r="7" spans="1:17" ht="15.5">
      <c r="A7" s="587"/>
      <c r="B7" s="587"/>
      <c r="C7" s="590"/>
      <c r="D7" s="588"/>
      <c r="E7" s="587"/>
    </row>
    <row r="8" spans="1:17" ht="15" thickBot="1">
      <c r="A8" s="587"/>
      <c r="B8" s="587"/>
      <c r="C8" s="587"/>
      <c r="D8" s="588"/>
      <c r="E8" s="587"/>
    </row>
    <row r="9" spans="1:17" ht="15" thickBot="1">
      <c r="A9" s="587"/>
      <c r="B9" s="591" t="s">
        <v>2</v>
      </c>
      <c r="C9" s="592" t="s">
        <v>58</v>
      </c>
      <c r="D9" s="593" t="s">
        <v>59</v>
      </c>
      <c r="E9" s="594" t="s">
        <v>60</v>
      </c>
      <c r="F9" s="128"/>
      <c r="G9" s="128"/>
      <c r="H9" s="128"/>
      <c r="I9" s="128"/>
      <c r="J9" s="128"/>
      <c r="K9" s="128"/>
      <c r="L9" s="128"/>
      <c r="M9" s="128"/>
      <c r="N9" s="128"/>
      <c r="O9" s="128"/>
      <c r="P9" s="128"/>
      <c r="Q9" s="128"/>
    </row>
    <row r="10" spans="1:17" ht="24" thickTop="1" thickBot="1">
      <c r="A10" s="587"/>
      <c r="B10" s="595" t="s">
        <v>542</v>
      </c>
      <c r="C10" s="596" t="s">
        <v>543</v>
      </c>
      <c r="D10" s="597">
        <v>44047.514000000003</v>
      </c>
      <c r="E10" s="598" t="s">
        <v>544</v>
      </c>
      <c r="F10" s="128"/>
      <c r="G10" s="128"/>
      <c r="H10" s="128"/>
      <c r="I10" s="128"/>
      <c r="J10" s="128"/>
      <c r="K10" s="128"/>
      <c r="L10" s="128"/>
      <c r="M10" s="128"/>
      <c r="N10" s="128"/>
      <c r="O10" s="128"/>
      <c r="P10" s="128"/>
      <c r="Q10" s="128"/>
    </row>
    <row r="11" spans="1:17" ht="35.5" thickTop="1" thickBot="1">
      <c r="A11" s="587"/>
      <c r="B11" s="595" t="s">
        <v>62</v>
      </c>
      <c r="C11" s="596" t="s">
        <v>545</v>
      </c>
      <c r="D11" s="597">
        <f>SUM(D12:D13)+D17</f>
        <v>11972.332387227696</v>
      </c>
      <c r="E11" s="598" t="s">
        <v>546</v>
      </c>
      <c r="F11" s="128"/>
      <c r="G11" s="128"/>
      <c r="H11" s="128"/>
      <c r="I11" s="128"/>
      <c r="J11" s="128"/>
      <c r="K11" s="128"/>
      <c r="L11" s="128"/>
      <c r="M11" s="128"/>
      <c r="N11" s="128"/>
      <c r="O11" s="128"/>
      <c r="P11" s="128"/>
      <c r="Q11" s="128"/>
    </row>
    <row r="12" spans="1:17" ht="23.5" thickTop="1">
      <c r="A12" s="587"/>
      <c r="B12" s="599" t="s">
        <v>64</v>
      </c>
      <c r="C12" s="600" t="s">
        <v>547</v>
      </c>
      <c r="D12" s="601">
        <f>'7'!E10</f>
        <v>4813.494216016783</v>
      </c>
      <c r="E12" s="123" t="s">
        <v>546</v>
      </c>
      <c r="F12" s="128"/>
      <c r="G12" s="128"/>
      <c r="H12" s="128"/>
      <c r="I12" s="128"/>
      <c r="J12" s="128"/>
      <c r="K12" s="128"/>
      <c r="L12" s="128"/>
      <c r="M12" s="128"/>
      <c r="N12" s="128"/>
      <c r="O12" s="128"/>
      <c r="P12" s="128"/>
      <c r="Q12" s="128"/>
    </row>
    <row r="13" spans="1:17" ht="23">
      <c r="A13" s="587"/>
      <c r="B13" s="50" t="s">
        <v>70</v>
      </c>
      <c r="C13" s="72" t="s">
        <v>548</v>
      </c>
      <c r="D13" s="73">
        <f>'7'!I10</f>
        <v>6405.1965137805491</v>
      </c>
      <c r="E13" s="53" t="s">
        <v>546</v>
      </c>
      <c r="F13" s="128"/>
      <c r="G13" s="128"/>
      <c r="H13" s="128"/>
      <c r="I13" s="128"/>
      <c r="J13" s="128"/>
      <c r="K13" s="128"/>
      <c r="L13" s="128"/>
      <c r="M13" s="128"/>
      <c r="N13" s="128"/>
      <c r="O13" s="128"/>
      <c r="P13" s="128"/>
      <c r="Q13" s="128"/>
    </row>
    <row r="14" spans="1:17" ht="23">
      <c r="A14" s="587"/>
      <c r="B14" s="50" t="s">
        <v>72</v>
      </c>
      <c r="C14" s="72" t="s">
        <v>549</v>
      </c>
      <c r="D14" s="73">
        <f>'7'!J10</f>
        <v>4692.0719848295812</v>
      </c>
      <c r="E14" s="53" t="s">
        <v>546</v>
      </c>
      <c r="F14" s="128"/>
      <c r="G14" s="128"/>
      <c r="H14" s="128"/>
      <c r="I14" s="128"/>
      <c r="J14" s="128"/>
      <c r="K14" s="128"/>
      <c r="L14" s="128"/>
      <c r="M14" s="128"/>
      <c r="N14" s="128"/>
      <c r="O14" s="128"/>
      <c r="P14" s="128"/>
      <c r="Q14" s="128"/>
    </row>
    <row r="15" spans="1:17">
      <c r="A15" s="587"/>
      <c r="B15" s="50" t="s">
        <v>80</v>
      </c>
      <c r="C15" s="72" t="s">
        <v>550</v>
      </c>
      <c r="D15" s="73">
        <f>'7'!K10</f>
        <v>1313.2994742355388</v>
      </c>
      <c r="E15" s="53" t="s">
        <v>546</v>
      </c>
      <c r="F15" s="128"/>
      <c r="G15" s="128"/>
      <c r="H15" s="128"/>
      <c r="I15" s="128"/>
      <c r="J15" s="128"/>
      <c r="K15" s="128"/>
      <c r="L15" s="128"/>
      <c r="M15" s="128"/>
      <c r="N15" s="128"/>
      <c r="O15" s="128"/>
      <c r="P15" s="128"/>
      <c r="Q15" s="128"/>
    </row>
    <row r="16" spans="1:17" ht="23">
      <c r="A16" s="587"/>
      <c r="B16" s="50" t="s">
        <v>90</v>
      </c>
      <c r="C16" s="72" t="s">
        <v>551</v>
      </c>
      <c r="D16" s="73">
        <f>'7'!L10</f>
        <v>399.82505471542936</v>
      </c>
      <c r="E16" s="53" t="s">
        <v>546</v>
      </c>
      <c r="F16" s="128"/>
      <c r="G16" s="128"/>
      <c r="H16" s="128"/>
      <c r="I16" s="128"/>
      <c r="J16" s="128"/>
      <c r="K16" s="128"/>
      <c r="L16" s="128"/>
      <c r="M16" s="128"/>
      <c r="N16" s="128"/>
      <c r="O16" s="128"/>
      <c r="P16" s="128"/>
      <c r="Q16" s="128"/>
    </row>
    <row r="17" spans="1:17" ht="23.5" thickBot="1">
      <c r="A17" s="587"/>
      <c r="B17" s="54" t="s">
        <v>98</v>
      </c>
      <c r="C17" s="72" t="s">
        <v>552</v>
      </c>
      <c r="D17" s="73">
        <f>'7'!M10</f>
        <v>753.64165743036301</v>
      </c>
      <c r="E17" s="53" t="s">
        <v>546</v>
      </c>
      <c r="F17" s="128"/>
      <c r="G17" s="128"/>
      <c r="H17" s="128"/>
      <c r="I17" s="128"/>
      <c r="J17" s="128"/>
      <c r="K17" s="128"/>
      <c r="L17" s="128"/>
      <c r="M17" s="128"/>
      <c r="N17" s="128"/>
      <c r="O17" s="128"/>
      <c r="P17" s="128"/>
      <c r="Q17" s="128"/>
    </row>
    <row r="18" spans="1:17" ht="23">
      <c r="A18" s="587"/>
      <c r="B18" s="46" t="s">
        <v>103</v>
      </c>
      <c r="C18" s="602" t="s">
        <v>553</v>
      </c>
      <c r="D18" s="48">
        <f>SUM(D19:D28)</f>
        <v>32071.922774072224</v>
      </c>
      <c r="E18" s="49"/>
      <c r="F18" s="128"/>
      <c r="G18" s="128"/>
      <c r="H18" s="128"/>
      <c r="I18" s="128"/>
      <c r="J18" s="128"/>
      <c r="K18" s="128"/>
      <c r="L18" s="128"/>
      <c r="M18" s="128"/>
      <c r="N18" s="128"/>
      <c r="O18" s="128"/>
      <c r="P18" s="128"/>
      <c r="Q18" s="128"/>
    </row>
    <row r="19" spans="1:17">
      <c r="A19" s="587"/>
      <c r="B19" s="50" t="s">
        <v>105</v>
      </c>
      <c r="C19" s="603" t="s">
        <v>554</v>
      </c>
      <c r="D19" s="52">
        <v>2257.9470000000001</v>
      </c>
      <c r="E19" s="53"/>
      <c r="F19" s="506"/>
      <c r="G19" s="128"/>
      <c r="H19" s="128"/>
      <c r="I19" s="128"/>
      <c r="J19" s="128"/>
      <c r="K19" s="128"/>
      <c r="L19" s="128"/>
      <c r="M19" s="128"/>
      <c r="N19" s="128"/>
      <c r="O19" s="128"/>
      <c r="P19" s="128"/>
      <c r="Q19" s="128"/>
    </row>
    <row r="20" spans="1:17" ht="23">
      <c r="A20" s="587"/>
      <c r="B20" s="50" t="s">
        <v>114</v>
      </c>
      <c r="C20" s="603" t="s">
        <v>555</v>
      </c>
      <c r="D20" s="52">
        <v>0</v>
      </c>
      <c r="E20" s="53"/>
      <c r="F20" s="128"/>
      <c r="G20" s="128"/>
      <c r="H20" s="128"/>
      <c r="I20" s="128"/>
      <c r="J20" s="128"/>
      <c r="K20" s="128"/>
      <c r="L20" s="128"/>
      <c r="M20" s="128"/>
      <c r="N20" s="128"/>
      <c r="O20" s="128"/>
      <c r="P20" s="128"/>
      <c r="Q20" s="128"/>
    </row>
    <row r="21" spans="1:17">
      <c r="A21" s="587"/>
      <c r="B21" s="50" t="s">
        <v>288</v>
      </c>
      <c r="C21" s="603" t="s">
        <v>556</v>
      </c>
      <c r="D21" s="52">
        <v>0</v>
      </c>
      <c r="E21" s="53"/>
      <c r="F21" s="128"/>
      <c r="G21" s="128"/>
      <c r="H21" s="128"/>
      <c r="I21" s="128"/>
      <c r="J21" s="128"/>
      <c r="K21" s="128"/>
      <c r="L21" s="128"/>
      <c r="M21" s="128"/>
      <c r="N21" s="128"/>
      <c r="O21" s="128"/>
      <c r="P21" s="128"/>
      <c r="Q21" s="128"/>
    </row>
    <row r="22" spans="1:17">
      <c r="A22" s="587"/>
      <c r="B22" s="50" t="s">
        <v>293</v>
      </c>
      <c r="C22" s="603" t="s">
        <v>557</v>
      </c>
      <c r="D22" s="52">
        <v>0</v>
      </c>
      <c r="E22" s="53"/>
      <c r="F22" s="128"/>
      <c r="G22" s="128"/>
      <c r="H22" s="128"/>
      <c r="I22" s="128"/>
      <c r="J22" s="128"/>
      <c r="K22" s="128"/>
      <c r="L22" s="128"/>
      <c r="M22" s="128"/>
      <c r="N22" s="128"/>
      <c r="O22" s="128"/>
      <c r="P22" s="128"/>
      <c r="Q22" s="128"/>
    </row>
    <row r="23" spans="1:17">
      <c r="A23" s="587"/>
      <c r="B23" s="50" t="s">
        <v>298</v>
      </c>
      <c r="C23" s="603" t="s">
        <v>558</v>
      </c>
      <c r="D23" s="52">
        <v>145.56200000000001</v>
      </c>
      <c r="E23" s="53"/>
      <c r="F23" s="128"/>
      <c r="G23" s="128"/>
      <c r="H23" s="128"/>
      <c r="I23" s="128"/>
      <c r="J23" s="128"/>
      <c r="K23" s="128"/>
      <c r="L23" s="128"/>
      <c r="M23" s="128"/>
      <c r="N23" s="128"/>
      <c r="O23" s="128"/>
      <c r="P23" s="128"/>
      <c r="Q23" s="128"/>
    </row>
    <row r="24" spans="1:17">
      <c r="A24" s="587"/>
      <c r="B24" s="50" t="s">
        <v>304</v>
      </c>
      <c r="C24" s="603" t="s">
        <v>559</v>
      </c>
      <c r="D24" s="52">
        <v>0</v>
      </c>
      <c r="E24" s="53"/>
      <c r="F24" s="128"/>
      <c r="G24" s="128"/>
      <c r="H24" s="128"/>
      <c r="I24" s="128"/>
      <c r="J24" s="128"/>
      <c r="K24" s="128"/>
      <c r="L24" s="128"/>
      <c r="M24" s="128"/>
      <c r="N24" s="128"/>
      <c r="O24" s="128"/>
      <c r="P24" s="128"/>
      <c r="Q24" s="128"/>
    </row>
    <row r="25" spans="1:17" ht="23">
      <c r="A25" s="587"/>
      <c r="B25" s="50" t="s">
        <v>308</v>
      </c>
      <c r="C25" s="603" t="s">
        <v>560</v>
      </c>
      <c r="D25" s="52">
        <v>2516.3569103361378</v>
      </c>
      <c r="E25" s="53"/>
      <c r="F25" s="128"/>
      <c r="G25" s="128"/>
      <c r="H25" s="128"/>
      <c r="I25" s="128"/>
      <c r="J25" s="128"/>
      <c r="K25" s="128"/>
      <c r="L25" s="128"/>
      <c r="M25" s="128"/>
      <c r="N25" s="128"/>
      <c r="O25" s="128"/>
      <c r="P25" s="128"/>
      <c r="Q25" s="128"/>
    </row>
    <row r="26" spans="1:17">
      <c r="A26" s="587"/>
      <c r="B26" s="50" t="s">
        <v>317</v>
      </c>
      <c r="C26" s="603" t="s">
        <v>561</v>
      </c>
      <c r="D26" s="52">
        <v>1834.999</v>
      </c>
      <c r="E26" s="53"/>
      <c r="F26" s="604"/>
      <c r="G26" s="605"/>
      <c r="H26" s="128"/>
      <c r="I26" s="128"/>
      <c r="J26" s="605"/>
      <c r="K26" s="605"/>
      <c r="L26" s="605"/>
      <c r="M26" s="605"/>
      <c r="N26" s="605"/>
      <c r="O26" s="605"/>
      <c r="P26" s="605"/>
      <c r="Q26" s="605"/>
    </row>
    <row r="27" spans="1:17" ht="23">
      <c r="A27" s="587"/>
      <c r="B27" s="54" t="s">
        <v>319</v>
      </c>
      <c r="C27" s="606" t="s">
        <v>562</v>
      </c>
      <c r="D27" s="56">
        <v>5750.8969199999956</v>
      </c>
      <c r="E27" s="57"/>
      <c r="F27" s="128"/>
      <c r="G27" s="128"/>
      <c r="H27" s="128"/>
      <c r="I27" s="128"/>
      <c r="J27" s="607"/>
      <c r="K27" s="128"/>
      <c r="L27" s="128"/>
      <c r="M27" s="128"/>
      <c r="N27" s="128"/>
      <c r="O27" s="128"/>
      <c r="P27" s="128"/>
      <c r="Q27" s="128"/>
    </row>
    <row r="28" spans="1:17" ht="15" thickBot="1">
      <c r="A28" s="587"/>
      <c r="B28" s="608" t="s">
        <v>331</v>
      </c>
      <c r="C28" s="609" t="s">
        <v>563</v>
      </c>
      <c r="D28" s="610">
        <f>D10-D11-D29-D19-D20-D21-D22-D23-D24-D25-D26-D27</f>
        <v>19566.160943736089</v>
      </c>
      <c r="E28" s="127"/>
      <c r="F28" s="128"/>
      <c r="G28" s="128"/>
      <c r="H28" s="128"/>
      <c r="I28" s="128"/>
      <c r="J28" s="128"/>
      <c r="K28" s="128"/>
      <c r="L28" s="128"/>
      <c r="M28" s="128"/>
      <c r="N28" s="128"/>
      <c r="O28" s="128"/>
      <c r="P28" s="128"/>
      <c r="Q28" s="128"/>
    </row>
    <row r="29" spans="1:17">
      <c r="A29" s="587"/>
      <c r="B29" s="58" t="s">
        <v>123</v>
      </c>
      <c r="C29" s="611" t="s">
        <v>564</v>
      </c>
      <c r="D29" s="60">
        <f>SUM(D30:D32)</f>
        <v>3.2588387000845835</v>
      </c>
      <c r="E29" s="53" t="s">
        <v>546</v>
      </c>
      <c r="F29" s="128"/>
      <c r="G29" s="128"/>
      <c r="H29" s="128"/>
      <c r="I29" s="128"/>
      <c r="J29" s="128"/>
      <c r="K29" s="128"/>
      <c r="L29" s="128"/>
      <c r="M29" s="128"/>
      <c r="N29" s="128"/>
      <c r="O29" s="128"/>
      <c r="P29" s="128"/>
      <c r="Q29" s="128"/>
    </row>
    <row r="30" spans="1:17">
      <c r="A30" s="587"/>
      <c r="B30" s="54" t="s">
        <v>125</v>
      </c>
      <c r="C30" s="82" t="s">
        <v>565</v>
      </c>
      <c r="D30" s="83">
        <f>'7'!O10</f>
        <v>3.0048565871913224</v>
      </c>
      <c r="E30" s="57" t="s">
        <v>546</v>
      </c>
      <c r="F30" s="128"/>
      <c r="G30" s="128"/>
      <c r="H30" s="128"/>
      <c r="I30" s="128"/>
      <c r="J30" s="128"/>
      <c r="K30" s="128"/>
      <c r="L30" s="128"/>
      <c r="M30" s="128"/>
      <c r="N30" s="128"/>
      <c r="O30" s="128"/>
      <c r="P30" s="128"/>
      <c r="Q30" s="128"/>
    </row>
    <row r="31" spans="1:17">
      <c r="A31" s="587"/>
      <c r="B31" s="50" t="s">
        <v>127</v>
      </c>
      <c r="C31" s="72" t="s">
        <v>566</v>
      </c>
      <c r="D31" s="73">
        <f>'7'!P10</f>
        <v>0</v>
      </c>
      <c r="E31" s="53" t="s">
        <v>546</v>
      </c>
      <c r="F31" s="128"/>
      <c r="G31" s="128"/>
      <c r="H31" s="128"/>
      <c r="I31" s="128"/>
      <c r="J31" s="128"/>
      <c r="K31" s="128"/>
      <c r="L31" s="128"/>
      <c r="M31" s="128"/>
      <c r="N31" s="128"/>
      <c r="O31" s="128"/>
      <c r="P31" s="128"/>
      <c r="Q31" s="128"/>
    </row>
    <row r="32" spans="1:17" ht="15" thickBot="1">
      <c r="A32" s="587"/>
      <c r="B32" s="54" t="s">
        <v>135</v>
      </c>
      <c r="C32" s="82" t="s">
        <v>567</v>
      </c>
      <c r="D32" s="83">
        <f>'7'!Q10</f>
        <v>0.25398211289326111</v>
      </c>
      <c r="E32" s="57" t="s">
        <v>546</v>
      </c>
      <c r="F32" s="128"/>
      <c r="G32" s="128"/>
      <c r="H32" s="128"/>
      <c r="I32" s="128"/>
      <c r="J32" s="128"/>
      <c r="K32" s="128"/>
      <c r="L32" s="128"/>
      <c r="M32" s="128"/>
      <c r="N32" s="128"/>
      <c r="O32" s="128"/>
      <c r="P32" s="128"/>
      <c r="Q32" s="128"/>
    </row>
    <row r="33" spans="1:17" ht="24" thickTop="1" thickBot="1">
      <c r="A33" s="587"/>
      <c r="B33" s="595" t="s">
        <v>568</v>
      </c>
      <c r="C33" s="596" t="s">
        <v>569</v>
      </c>
      <c r="D33" s="612">
        <v>64630.053029999995</v>
      </c>
      <c r="E33" s="598"/>
      <c r="F33" s="128"/>
      <c r="G33" s="128"/>
      <c r="H33" s="128"/>
      <c r="I33" s="128"/>
      <c r="J33" s="128"/>
      <c r="K33" s="128"/>
      <c r="L33" s="128"/>
      <c r="M33" s="128"/>
      <c r="N33" s="128"/>
      <c r="O33" s="128"/>
      <c r="P33" s="128"/>
      <c r="Q33" s="128"/>
    </row>
    <row r="34" spans="1:17" ht="35.5" thickTop="1" thickBot="1">
      <c r="A34" s="587"/>
      <c r="B34" s="595" t="s">
        <v>137</v>
      </c>
      <c r="C34" s="596" t="s">
        <v>570</v>
      </c>
      <c r="D34" s="597">
        <f>SUM(D35:D36)+D40</f>
        <v>19631.167965550601</v>
      </c>
      <c r="E34" s="598" t="s">
        <v>571</v>
      </c>
      <c r="F34" s="128"/>
      <c r="G34" s="128"/>
      <c r="H34" s="128"/>
      <c r="I34" s="128"/>
      <c r="J34" s="128"/>
      <c r="K34" s="128"/>
      <c r="L34" s="128"/>
      <c r="M34" s="128"/>
      <c r="N34" s="128"/>
      <c r="O34" s="128"/>
      <c r="P34" s="128"/>
      <c r="Q34" s="128"/>
    </row>
    <row r="35" spans="1:17" ht="23.5" thickTop="1">
      <c r="A35" s="587"/>
      <c r="B35" s="599" t="s">
        <v>139</v>
      </c>
      <c r="C35" s="600" t="s">
        <v>572</v>
      </c>
      <c r="D35" s="601">
        <f>'6'!E10</f>
        <v>7842.1447535439047</v>
      </c>
      <c r="E35" s="123" t="s">
        <v>571</v>
      </c>
      <c r="F35" s="128"/>
      <c r="G35" s="128"/>
      <c r="H35" s="128"/>
      <c r="I35" s="128"/>
      <c r="J35" s="128"/>
      <c r="K35" s="128"/>
      <c r="L35" s="128"/>
      <c r="M35" s="128"/>
      <c r="N35" s="128"/>
      <c r="O35" s="128"/>
      <c r="P35" s="128"/>
      <c r="Q35" s="128"/>
    </row>
    <row r="36" spans="1:17" ht="23">
      <c r="A36" s="587"/>
      <c r="B36" s="50" t="s">
        <v>141</v>
      </c>
      <c r="C36" s="72" t="s">
        <v>573</v>
      </c>
      <c r="D36" s="73">
        <f>'6'!I10</f>
        <v>10632.165080938094</v>
      </c>
      <c r="E36" s="53" t="s">
        <v>571</v>
      </c>
      <c r="F36" s="128"/>
      <c r="G36" s="128"/>
      <c r="H36" s="128"/>
      <c r="I36" s="128"/>
      <c r="J36" s="128"/>
      <c r="K36" s="128"/>
      <c r="L36" s="128"/>
      <c r="M36" s="128"/>
      <c r="N36" s="128"/>
      <c r="O36" s="128"/>
      <c r="P36" s="128"/>
      <c r="Q36" s="128"/>
    </row>
    <row r="37" spans="1:17" ht="23">
      <c r="A37" s="587"/>
      <c r="B37" s="50" t="s">
        <v>574</v>
      </c>
      <c r="C37" s="72" t="s">
        <v>575</v>
      </c>
      <c r="D37" s="73">
        <f>'6'!J10</f>
        <v>7240.463782090721</v>
      </c>
      <c r="E37" s="53" t="s">
        <v>571</v>
      </c>
      <c r="F37" s="128"/>
      <c r="G37" s="128"/>
      <c r="H37" s="128"/>
      <c r="I37" s="128"/>
      <c r="J37" s="128"/>
      <c r="K37" s="128"/>
      <c r="L37" s="128"/>
      <c r="M37" s="128"/>
      <c r="N37" s="128"/>
      <c r="O37" s="128"/>
      <c r="P37" s="128"/>
      <c r="Q37" s="128"/>
    </row>
    <row r="38" spans="1:17">
      <c r="A38" s="587"/>
      <c r="B38" s="50" t="s">
        <v>576</v>
      </c>
      <c r="C38" s="72" t="s">
        <v>577</v>
      </c>
      <c r="D38" s="73">
        <f>'6'!K10</f>
        <v>2324.2095372389285</v>
      </c>
      <c r="E38" s="53" t="s">
        <v>571</v>
      </c>
      <c r="F38" s="128"/>
      <c r="G38" s="128"/>
      <c r="H38" s="128"/>
      <c r="I38" s="128"/>
      <c r="J38" s="128"/>
      <c r="K38" s="128"/>
      <c r="L38" s="128"/>
      <c r="M38" s="128"/>
      <c r="N38" s="128"/>
      <c r="O38" s="128"/>
      <c r="P38" s="128"/>
      <c r="Q38" s="128"/>
    </row>
    <row r="39" spans="1:17" ht="23">
      <c r="A39" s="587"/>
      <c r="B39" s="50" t="s">
        <v>578</v>
      </c>
      <c r="C39" s="72" t="s">
        <v>579</v>
      </c>
      <c r="D39" s="73">
        <f>'6'!L10</f>
        <v>1067.4917616084444</v>
      </c>
      <c r="E39" s="53" t="s">
        <v>571</v>
      </c>
      <c r="F39" s="128"/>
      <c r="G39" s="128"/>
      <c r="H39" s="128"/>
      <c r="I39" s="128"/>
      <c r="J39" s="128"/>
      <c r="K39" s="128"/>
      <c r="L39" s="128"/>
      <c r="M39" s="128"/>
      <c r="N39" s="128"/>
      <c r="O39" s="128"/>
      <c r="P39" s="128"/>
      <c r="Q39" s="128"/>
    </row>
    <row r="40" spans="1:17" ht="23.5" thickBot="1">
      <c r="A40" s="587"/>
      <c r="B40" s="54" t="s">
        <v>143</v>
      </c>
      <c r="C40" s="72" t="s">
        <v>580</v>
      </c>
      <c r="D40" s="73">
        <f>'6'!M10</f>
        <v>1156.8581310686041</v>
      </c>
      <c r="E40" s="53" t="s">
        <v>571</v>
      </c>
      <c r="F40" s="128"/>
      <c r="G40" s="128"/>
      <c r="H40" s="128"/>
      <c r="I40" s="128"/>
      <c r="J40" s="128"/>
      <c r="K40" s="128"/>
      <c r="L40" s="128"/>
      <c r="M40" s="128"/>
      <c r="N40" s="128"/>
      <c r="O40" s="128"/>
      <c r="P40" s="128"/>
      <c r="Q40" s="128"/>
    </row>
    <row r="41" spans="1:17" ht="23">
      <c r="A41" s="587"/>
      <c r="B41" s="46" t="s">
        <v>489</v>
      </c>
      <c r="C41" s="602" t="s">
        <v>581</v>
      </c>
      <c r="D41" s="48">
        <f>SUM(D42:D51)</f>
        <v>44975.642140000004</v>
      </c>
      <c r="E41" s="49"/>
      <c r="F41" s="128"/>
      <c r="G41" s="128"/>
      <c r="H41" s="128"/>
      <c r="I41" s="128"/>
      <c r="J41" s="128"/>
      <c r="K41" s="128"/>
      <c r="L41" s="128"/>
      <c r="M41" s="128"/>
      <c r="N41" s="128"/>
      <c r="O41" s="128"/>
      <c r="P41" s="128"/>
      <c r="Q41" s="128"/>
    </row>
    <row r="42" spans="1:17">
      <c r="A42" s="587"/>
      <c r="B42" s="50" t="s">
        <v>491</v>
      </c>
      <c r="C42" s="603" t="s">
        <v>554</v>
      </c>
      <c r="D42" s="52">
        <v>30268.371200000045</v>
      </c>
      <c r="E42" s="53"/>
      <c r="F42" s="128"/>
      <c r="G42" s="128"/>
      <c r="H42" s="128"/>
      <c r="I42" s="128"/>
      <c r="J42" s="128"/>
      <c r="K42" s="128"/>
      <c r="L42" s="128"/>
      <c r="M42" s="128"/>
      <c r="N42" s="128"/>
      <c r="O42" s="128"/>
      <c r="P42" s="128"/>
      <c r="Q42" s="128"/>
    </row>
    <row r="43" spans="1:17" ht="23">
      <c r="A43" s="587"/>
      <c r="B43" s="50" t="s">
        <v>149</v>
      </c>
      <c r="C43" s="603" t="s">
        <v>555</v>
      </c>
      <c r="D43" s="52">
        <v>0</v>
      </c>
      <c r="E43" s="53"/>
      <c r="F43" s="128"/>
      <c r="G43" s="128"/>
      <c r="H43" s="128"/>
      <c r="I43" s="128"/>
      <c r="J43" s="128"/>
      <c r="K43" s="128"/>
      <c r="L43" s="128"/>
      <c r="M43" s="128"/>
      <c r="N43" s="128"/>
      <c r="O43" s="128"/>
      <c r="P43" s="128"/>
      <c r="Q43" s="128"/>
    </row>
    <row r="44" spans="1:17">
      <c r="A44" s="587"/>
      <c r="B44" s="50" t="s">
        <v>151</v>
      </c>
      <c r="C44" s="603" t="s">
        <v>556</v>
      </c>
      <c r="D44" s="52">
        <v>0</v>
      </c>
      <c r="E44" s="53"/>
      <c r="F44" s="128"/>
      <c r="G44" s="128"/>
      <c r="H44" s="128"/>
      <c r="I44" s="128"/>
      <c r="J44" s="128"/>
      <c r="K44" s="128"/>
      <c r="L44" s="128"/>
      <c r="M44" s="128"/>
      <c r="N44" s="128"/>
      <c r="O44" s="128"/>
      <c r="P44" s="128"/>
      <c r="Q44" s="128"/>
    </row>
    <row r="45" spans="1:17">
      <c r="A45" s="587"/>
      <c r="B45" s="50" t="s">
        <v>153</v>
      </c>
      <c r="C45" s="603" t="s">
        <v>557</v>
      </c>
      <c r="D45" s="52">
        <v>0</v>
      </c>
      <c r="E45" s="53"/>
      <c r="F45" s="128"/>
      <c r="G45" s="128"/>
      <c r="H45" s="128"/>
      <c r="I45" s="128"/>
      <c r="J45" s="128"/>
      <c r="K45" s="128"/>
      <c r="L45" s="128"/>
      <c r="M45" s="128"/>
      <c r="N45" s="128"/>
      <c r="O45" s="128"/>
      <c r="P45" s="128"/>
      <c r="Q45" s="128"/>
    </row>
    <row r="46" spans="1:17">
      <c r="A46" s="587"/>
      <c r="B46" s="50" t="s">
        <v>155</v>
      </c>
      <c r="C46" s="603" t="s">
        <v>558</v>
      </c>
      <c r="D46" s="52">
        <v>145.56200000000001</v>
      </c>
      <c r="E46" s="53"/>
      <c r="F46" s="128"/>
      <c r="G46" s="128"/>
      <c r="H46" s="128"/>
      <c r="I46" s="128"/>
      <c r="J46" s="128"/>
      <c r="K46" s="128"/>
      <c r="L46" s="128"/>
      <c r="M46" s="128"/>
      <c r="N46" s="128"/>
      <c r="O46" s="128"/>
      <c r="P46" s="128"/>
      <c r="Q46" s="128"/>
    </row>
    <row r="47" spans="1:17">
      <c r="A47" s="587"/>
      <c r="B47" s="50" t="s">
        <v>157</v>
      </c>
      <c r="C47" s="603" t="s">
        <v>559</v>
      </c>
      <c r="D47" s="52">
        <v>0</v>
      </c>
      <c r="E47" s="53"/>
      <c r="F47" s="128"/>
      <c r="G47" s="128"/>
      <c r="H47" s="128"/>
      <c r="I47" s="128"/>
      <c r="J47" s="128"/>
      <c r="K47" s="128"/>
      <c r="L47" s="128"/>
      <c r="M47" s="128"/>
      <c r="N47" s="128"/>
      <c r="O47" s="128"/>
      <c r="P47" s="128"/>
      <c r="Q47" s="128"/>
    </row>
    <row r="48" spans="1:17" ht="23">
      <c r="A48" s="587"/>
      <c r="B48" s="50" t="s">
        <v>159</v>
      </c>
      <c r="C48" s="603" t="s">
        <v>560</v>
      </c>
      <c r="D48" s="52">
        <v>3765.70048</v>
      </c>
      <c r="E48" s="53"/>
      <c r="F48" s="128"/>
      <c r="G48" s="128"/>
      <c r="H48" s="613"/>
      <c r="I48" s="613"/>
      <c r="J48" s="613"/>
      <c r="K48" s="128"/>
      <c r="L48" s="128"/>
      <c r="M48" s="128"/>
      <c r="N48" s="128"/>
      <c r="O48" s="128"/>
      <c r="P48" s="128"/>
      <c r="Q48" s="128"/>
    </row>
    <row r="49" spans="1:17">
      <c r="A49" s="587"/>
      <c r="B49" s="50" t="s">
        <v>161</v>
      </c>
      <c r="C49" s="603" t="s">
        <v>561</v>
      </c>
      <c r="D49" s="52">
        <v>5094.3076899999987</v>
      </c>
      <c r="E49" s="53"/>
      <c r="F49" s="128"/>
      <c r="G49" s="128"/>
      <c r="H49" s="605"/>
      <c r="I49" s="605"/>
      <c r="J49" s="605"/>
      <c r="K49" s="128"/>
      <c r="L49" s="128"/>
      <c r="M49" s="128"/>
      <c r="N49" s="128"/>
      <c r="O49" s="128"/>
      <c r="P49" s="128"/>
      <c r="Q49" s="128"/>
    </row>
    <row r="50" spans="1:17" ht="23">
      <c r="A50" s="587"/>
      <c r="B50" s="54" t="s">
        <v>163</v>
      </c>
      <c r="C50" s="606" t="s">
        <v>562</v>
      </c>
      <c r="D50" s="56">
        <v>6384.8697099999954</v>
      </c>
      <c r="E50" s="57"/>
      <c r="F50" s="128"/>
      <c r="G50" s="614"/>
      <c r="H50" s="614"/>
      <c r="I50" s="614"/>
      <c r="J50" s="614"/>
      <c r="K50" s="614"/>
      <c r="L50" s="614"/>
      <c r="M50" s="614"/>
      <c r="N50" s="614"/>
      <c r="O50" s="128"/>
      <c r="P50" s="128"/>
      <c r="Q50" s="128"/>
    </row>
    <row r="51" spans="1:17" ht="26.5" customHeight="1" thickBot="1">
      <c r="A51" s="587"/>
      <c r="B51" s="608" t="s">
        <v>165</v>
      </c>
      <c r="C51" s="609" t="s">
        <v>582</v>
      </c>
      <c r="D51" s="615">
        <f>D33-D34-D52-D42-D43-D44-D45-D46-D47-D48-D49-D50</f>
        <v>-683.16894000004231</v>
      </c>
      <c r="E51" s="127"/>
      <c r="F51" s="128"/>
      <c r="G51" s="128"/>
      <c r="H51" s="128"/>
      <c r="I51" s="128"/>
      <c r="J51" s="128"/>
      <c r="K51" s="128"/>
      <c r="L51" s="128"/>
      <c r="M51" s="128"/>
      <c r="N51" s="128"/>
      <c r="O51" s="128"/>
      <c r="P51" s="128"/>
      <c r="Q51" s="128"/>
    </row>
    <row r="52" spans="1:17">
      <c r="A52" s="587"/>
      <c r="B52" s="58" t="s">
        <v>191</v>
      </c>
      <c r="C52" s="611" t="s">
        <v>583</v>
      </c>
      <c r="D52" s="60">
        <f>D54+D55+D53</f>
        <v>23.242924449399823</v>
      </c>
      <c r="E52" s="53" t="s">
        <v>571</v>
      </c>
      <c r="F52" s="128"/>
      <c r="G52" s="128"/>
      <c r="H52" s="128"/>
      <c r="I52" s="128"/>
      <c r="J52" s="128"/>
      <c r="K52" s="128"/>
      <c r="L52" s="128"/>
      <c r="M52" s="128"/>
      <c r="N52" s="128"/>
      <c r="O52" s="128"/>
      <c r="P52" s="128"/>
      <c r="Q52" s="128"/>
    </row>
    <row r="53" spans="1:17">
      <c r="A53" s="587"/>
      <c r="B53" s="54" t="s">
        <v>193</v>
      </c>
      <c r="C53" s="82" t="s">
        <v>584</v>
      </c>
      <c r="D53" s="83">
        <f>'6'!O10</f>
        <v>20.601697557255804</v>
      </c>
      <c r="E53" s="57" t="s">
        <v>571</v>
      </c>
      <c r="F53" s="128"/>
      <c r="G53" s="128"/>
      <c r="H53" s="128"/>
      <c r="I53" s="128"/>
      <c r="J53" s="128"/>
      <c r="K53" s="128"/>
      <c r="L53" s="128"/>
      <c r="M53" s="128"/>
      <c r="N53" s="128"/>
      <c r="O53" s="128"/>
      <c r="P53" s="128"/>
      <c r="Q53" s="128"/>
    </row>
    <row r="54" spans="1:17">
      <c r="A54" s="587"/>
      <c r="B54" s="50" t="s">
        <v>195</v>
      </c>
      <c r="C54" s="72" t="s">
        <v>585</v>
      </c>
      <c r="D54" s="73">
        <f>'6'!P10</f>
        <v>0</v>
      </c>
      <c r="E54" s="53" t="s">
        <v>571</v>
      </c>
      <c r="F54" s="128"/>
      <c r="G54" s="128"/>
      <c r="H54" s="128"/>
      <c r="I54" s="128"/>
      <c r="J54" s="128"/>
      <c r="K54" s="128"/>
      <c r="L54" s="128"/>
      <c r="M54" s="128"/>
      <c r="N54" s="128"/>
      <c r="O54" s="128"/>
      <c r="P54" s="128"/>
      <c r="Q54" s="128"/>
    </row>
    <row r="55" spans="1:17" ht="15" thickBot="1">
      <c r="A55" s="587"/>
      <c r="B55" s="616" t="s">
        <v>203</v>
      </c>
      <c r="C55" s="617" t="s">
        <v>586</v>
      </c>
      <c r="D55" s="126">
        <f>'6'!Q10</f>
        <v>2.6412268921440178</v>
      </c>
      <c r="E55" s="127" t="s">
        <v>571</v>
      </c>
      <c r="F55" s="128"/>
      <c r="G55" s="128"/>
      <c r="H55" s="128"/>
      <c r="I55" s="128"/>
      <c r="J55" s="128"/>
      <c r="K55" s="128"/>
      <c r="L55" s="128"/>
      <c r="M55" s="128"/>
      <c r="N55" s="128"/>
      <c r="O55" s="128"/>
      <c r="P55" s="128"/>
      <c r="Q55" s="128"/>
    </row>
  </sheetData>
  <pageMargins left="0.7" right="0.7" top="0.75" bottom="0.75" header="0.3" footer="0.3"/>
  <pageSetup paperSize="9" scale="6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87F07-FFF6-4D00-B4B0-3CB73F6D9B94}">
  <sheetPr>
    <tabColor theme="0" tint="-0.14999847407452621"/>
    <pageSetUpPr fitToPage="1"/>
  </sheetPr>
  <dimension ref="A1:V164"/>
  <sheetViews>
    <sheetView tabSelected="1" zoomScale="70" zoomScaleNormal="70" workbookViewId="0">
      <selection activeCell="B9" sqref="B9"/>
    </sheetView>
  </sheetViews>
  <sheetFormatPr defaultRowHeight="14.5"/>
  <cols>
    <col min="1" max="1" width="14.26953125" style="129" bestFit="1" customWidth="1"/>
    <col min="3" max="3" width="61.453125" customWidth="1"/>
    <col min="4" max="4" width="11" customWidth="1"/>
    <col min="5" max="5" width="11.453125" customWidth="1"/>
    <col min="6" max="7" width="14.1796875" customWidth="1"/>
    <col min="8" max="8" width="15.1796875" customWidth="1"/>
    <col min="9" max="9" width="11" customWidth="1"/>
    <col min="10" max="10" width="11.54296875" customWidth="1"/>
    <col min="11" max="11" width="13.453125" customWidth="1"/>
    <col min="12" max="12" width="12.1796875" customWidth="1"/>
    <col min="13" max="14" width="21" customWidth="1"/>
    <col min="15" max="15" width="13.453125" customWidth="1"/>
    <col min="16" max="16" width="16.26953125" customWidth="1"/>
    <col min="17" max="17" width="23.26953125" customWidth="1"/>
    <col min="18" max="21" width="9.1796875" style="128" hidden="1" customWidth="1"/>
    <col min="22" max="22" width="8.7265625" style="128"/>
  </cols>
  <sheetData>
    <row r="1" spans="1:22">
      <c r="A1" s="618"/>
      <c r="B1" s="619"/>
      <c r="C1" s="619"/>
      <c r="D1" s="619"/>
      <c r="E1" s="619"/>
      <c r="F1" s="619"/>
      <c r="G1" s="619"/>
      <c r="H1" s="619"/>
      <c r="I1" s="619"/>
      <c r="J1" s="619"/>
      <c r="K1" s="619"/>
      <c r="L1" s="619"/>
      <c r="M1" s="619"/>
      <c r="N1" s="619"/>
      <c r="O1" s="619"/>
      <c r="P1" s="619"/>
      <c r="Q1" s="619"/>
    </row>
    <row r="2" spans="1:22" ht="69">
      <c r="A2" s="618"/>
      <c r="B2" s="619"/>
      <c r="C2" s="32" t="s">
        <v>1331</v>
      </c>
      <c r="D2" s="619"/>
      <c r="E2" s="619"/>
      <c r="F2" s="619"/>
      <c r="G2" s="619"/>
      <c r="H2" s="619"/>
      <c r="I2" s="619"/>
      <c r="J2" s="619"/>
      <c r="K2" s="619"/>
      <c r="L2" s="619"/>
      <c r="M2" s="619"/>
      <c r="N2" s="619"/>
      <c r="O2" s="619"/>
      <c r="P2" s="619"/>
      <c r="Q2" s="589" t="s">
        <v>587</v>
      </c>
    </row>
    <row r="3" spans="1:22">
      <c r="A3" s="618"/>
      <c r="B3" s="619"/>
      <c r="C3" s="32" t="s">
        <v>1332</v>
      </c>
      <c r="D3" s="619"/>
      <c r="E3" s="619"/>
      <c r="F3" s="619"/>
      <c r="G3" s="619"/>
      <c r="H3" s="619"/>
      <c r="I3" s="619"/>
      <c r="J3" s="619"/>
      <c r="K3" s="619"/>
      <c r="L3" s="619"/>
      <c r="M3" s="619"/>
      <c r="N3" s="619"/>
      <c r="O3" s="619"/>
      <c r="P3" s="619"/>
      <c r="Q3" s="619"/>
    </row>
    <row r="4" spans="1:22">
      <c r="A4" s="618"/>
      <c r="B4" s="619"/>
      <c r="C4" s="619"/>
      <c r="D4" s="619"/>
      <c r="E4" s="619"/>
      <c r="F4" s="619"/>
      <c r="G4" s="619"/>
      <c r="H4" s="619"/>
      <c r="I4" s="619"/>
      <c r="J4" s="619"/>
      <c r="K4" s="619"/>
      <c r="L4" s="619"/>
      <c r="M4" s="619"/>
      <c r="N4" s="619"/>
      <c r="O4" s="619"/>
      <c r="P4" s="619"/>
      <c r="Q4" s="619"/>
    </row>
    <row r="5" spans="1:22" ht="15">
      <c r="A5" s="618"/>
      <c r="B5" s="619"/>
      <c r="C5" s="620" t="s">
        <v>588</v>
      </c>
      <c r="D5" s="619"/>
      <c r="E5" s="619"/>
      <c r="F5" s="619"/>
      <c r="G5" s="619"/>
      <c r="H5" s="619"/>
      <c r="I5" s="619"/>
      <c r="J5" s="619"/>
      <c r="K5" s="619"/>
      <c r="L5" s="619"/>
      <c r="M5" s="619"/>
      <c r="N5" s="619"/>
      <c r="O5" s="619"/>
      <c r="P5" s="619"/>
      <c r="Q5" s="619"/>
    </row>
    <row r="6" spans="1:22" ht="15">
      <c r="A6" s="618"/>
      <c r="B6" s="619"/>
      <c r="C6" s="620"/>
      <c r="D6" s="619"/>
      <c r="E6" s="619"/>
      <c r="F6" s="619"/>
      <c r="G6" s="619"/>
      <c r="H6" s="619"/>
      <c r="I6" s="619"/>
      <c r="J6" s="619"/>
      <c r="K6" s="619"/>
      <c r="L6" s="619"/>
      <c r="M6" s="619"/>
      <c r="N6" s="619"/>
      <c r="O6" s="619"/>
      <c r="P6" s="619"/>
      <c r="Q6" s="619"/>
    </row>
    <row r="7" spans="1:22" ht="15">
      <c r="A7" s="618"/>
      <c r="B7" s="619"/>
      <c r="C7" s="620"/>
      <c r="D7" s="619"/>
      <c r="E7" s="619"/>
      <c r="F7" s="619"/>
      <c r="G7" s="619"/>
      <c r="H7" s="619"/>
      <c r="I7" s="619"/>
      <c r="J7" s="619"/>
      <c r="K7" s="619"/>
      <c r="L7" s="619"/>
      <c r="M7" s="619"/>
      <c r="N7" s="619"/>
      <c r="O7" s="619"/>
      <c r="P7" s="619"/>
      <c r="Q7" s="619"/>
    </row>
    <row r="8" spans="1:22" s="129" customFormat="1" ht="15" thickBot="1">
      <c r="A8" s="618"/>
      <c r="B8" s="618"/>
      <c r="C8" s="621"/>
      <c r="D8" s="618"/>
      <c r="E8" s="618"/>
      <c r="F8" s="618" t="s">
        <v>1423</v>
      </c>
      <c r="G8" s="618" t="s">
        <v>1424</v>
      </c>
      <c r="H8" s="618" t="s">
        <v>1425</v>
      </c>
      <c r="I8" s="618"/>
      <c r="J8" s="618" t="s">
        <v>1426</v>
      </c>
      <c r="K8" s="618" t="s">
        <v>1427</v>
      </c>
      <c r="L8" s="618" t="s">
        <v>1428</v>
      </c>
      <c r="M8" s="618" t="s">
        <v>1429</v>
      </c>
      <c r="N8" s="618"/>
      <c r="O8" s="618" t="s">
        <v>1430</v>
      </c>
      <c r="P8" s="618" t="s">
        <v>1431</v>
      </c>
      <c r="Q8" s="618" t="s">
        <v>1432</v>
      </c>
      <c r="R8" s="128"/>
      <c r="S8" s="128"/>
      <c r="T8" s="128"/>
      <c r="U8" s="128"/>
      <c r="V8" s="128"/>
    </row>
    <row r="9" spans="1:22" ht="65.5" thickBot="1">
      <c r="A9" s="619"/>
      <c r="B9" s="622" t="s">
        <v>2</v>
      </c>
      <c r="C9" s="623" t="s">
        <v>589</v>
      </c>
      <c r="D9" s="624" t="s">
        <v>238</v>
      </c>
      <c r="E9" s="625" t="s">
        <v>239</v>
      </c>
      <c r="F9" s="626" t="s">
        <v>240</v>
      </c>
      <c r="G9" s="627" t="s">
        <v>241</v>
      </c>
      <c r="H9" s="628" t="s">
        <v>242</v>
      </c>
      <c r="I9" s="629" t="s">
        <v>243</v>
      </c>
      <c r="J9" s="626" t="s">
        <v>244</v>
      </c>
      <c r="K9" s="627" t="s">
        <v>245</v>
      </c>
      <c r="L9" s="630" t="s">
        <v>246</v>
      </c>
      <c r="M9" s="625" t="s">
        <v>247</v>
      </c>
      <c r="N9" s="629" t="s">
        <v>248</v>
      </c>
      <c r="O9" s="631" t="s">
        <v>590</v>
      </c>
      <c r="P9" s="632" t="s">
        <v>250</v>
      </c>
      <c r="Q9" s="633" t="s">
        <v>251</v>
      </c>
    </row>
    <row r="10" spans="1:22" ht="15.5" thickTop="1" thickBot="1">
      <c r="A10" s="619"/>
      <c r="B10" s="634" t="s">
        <v>62</v>
      </c>
      <c r="C10" s="634" t="s">
        <v>591</v>
      </c>
      <c r="D10" s="635">
        <f>D11+D15+D22+D25+D31+D34</f>
        <v>19654.410890000003</v>
      </c>
      <c r="E10" s="636">
        <f t="shared" ref="E10:Q10" si="0">E11+E15+E22+E25+E31+E34</f>
        <v>7842.1447535439047</v>
      </c>
      <c r="F10" s="637">
        <f t="shared" si="0"/>
        <v>508.2457536656857</v>
      </c>
      <c r="G10" s="638">
        <f t="shared" si="0"/>
        <v>1066.258189068725</v>
      </c>
      <c r="H10" s="639">
        <f t="shared" si="0"/>
        <v>6267.6408108094929</v>
      </c>
      <c r="I10" s="635">
        <f t="shared" si="0"/>
        <v>10632.165080938094</v>
      </c>
      <c r="J10" s="637">
        <f t="shared" si="0"/>
        <v>7240.463782090721</v>
      </c>
      <c r="K10" s="638">
        <f t="shared" si="0"/>
        <v>2324.2095372389285</v>
      </c>
      <c r="L10" s="639">
        <f t="shared" si="0"/>
        <v>1067.4917616084444</v>
      </c>
      <c r="M10" s="640">
        <f t="shared" si="0"/>
        <v>1156.8581310686041</v>
      </c>
      <c r="N10" s="635">
        <f>+O10+P10</f>
        <v>20.601697557255804</v>
      </c>
      <c r="O10" s="640">
        <f>O11+O15+O22+O25+O31+O34</f>
        <v>20.601697557255804</v>
      </c>
      <c r="P10" s="639">
        <f t="shared" si="0"/>
        <v>0</v>
      </c>
      <c r="Q10" s="641">
        <f t="shared" si="0"/>
        <v>2.6412268921440178</v>
      </c>
    </row>
    <row r="11" spans="1:22" ht="15" thickTop="1">
      <c r="A11" s="642"/>
      <c r="B11" s="643" t="s">
        <v>64</v>
      </c>
      <c r="C11" s="644" t="s">
        <v>6</v>
      </c>
      <c r="D11" s="645">
        <f>O11+E11+I11+M11+P11+Q11</f>
        <v>4.8870000000000005</v>
      </c>
      <c r="E11" s="646">
        <f>SUM(F11:H11)</f>
        <v>0.30996622252072481</v>
      </c>
      <c r="F11" s="647">
        <f>SUM(F12:F14)</f>
        <v>4.6085841053691866E-2</v>
      </c>
      <c r="G11" s="648">
        <f t="shared" ref="G11:Q11" si="1">SUM(G12:G14)</f>
        <v>3.6042569433146279E-2</v>
      </c>
      <c r="H11" s="649">
        <f t="shared" si="1"/>
        <v>0.22783781203388664</v>
      </c>
      <c r="I11" s="645">
        <f t="shared" ref="I11:I37" si="2">SUM(J11:L11)</f>
        <v>0.57847788279526902</v>
      </c>
      <c r="J11" s="647">
        <f t="shared" si="1"/>
        <v>0.27530897169260027</v>
      </c>
      <c r="K11" s="648">
        <f t="shared" si="1"/>
        <v>0.21168096854724272</v>
      </c>
      <c r="L11" s="649">
        <f t="shared" si="1"/>
        <v>9.1487942555426055E-2</v>
      </c>
      <c r="M11" s="650">
        <f t="shared" si="1"/>
        <v>4.5954989380915912E-2</v>
      </c>
      <c r="N11" s="645">
        <f t="shared" ref="N11:N37" si="3">+O11+P11</f>
        <v>3.9432639558817448</v>
      </c>
      <c r="O11" s="650">
        <f>SUM(O12:O14)</f>
        <v>3.9432639558817448</v>
      </c>
      <c r="P11" s="649">
        <f t="shared" si="1"/>
        <v>0</v>
      </c>
      <c r="Q11" s="651">
        <f t="shared" si="1"/>
        <v>9.3369494213453429E-3</v>
      </c>
    </row>
    <row r="12" spans="1:22">
      <c r="A12" s="619"/>
      <c r="B12" s="652" t="s">
        <v>66</v>
      </c>
      <c r="C12" s="653" t="s">
        <v>8</v>
      </c>
      <c r="D12" s="645">
        <f>O12+E12+I12+M12+P12+Q12</f>
        <v>8.7000000000000008E-2</v>
      </c>
      <c r="E12" s="646">
        <f t="shared" ref="E12:E37" si="4">SUM(F12:H12)</f>
        <v>2.7322250617328323E-2</v>
      </c>
      <c r="F12" s="654">
        <f t="shared" ref="F12:H14" si="5">SUM(F40,F68,F118)</f>
        <v>4.062277782848219E-3</v>
      </c>
      <c r="G12" s="655">
        <f t="shared" si="5"/>
        <v>3.1770046004900971E-3</v>
      </c>
      <c r="H12" s="656">
        <f t="shared" si="5"/>
        <v>2.0082968233990008E-2</v>
      </c>
      <c r="I12" s="645">
        <f t="shared" si="2"/>
        <v>5.0990451674962925E-2</v>
      </c>
      <c r="J12" s="654">
        <f t="shared" ref="J12:M14" si="6">SUM(J40,J68,J118)</f>
        <v>2.4267356167432849E-2</v>
      </c>
      <c r="K12" s="655">
        <f t="shared" si="6"/>
        <v>1.8658808777720484E-2</v>
      </c>
      <c r="L12" s="656">
        <f t="shared" si="6"/>
        <v>8.0642867298095899E-3</v>
      </c>
      <c r="M12" s="657">
        <f t="shared" si="6"/>
        <v>4.0507437448223755E-3</v>
      </c>
      <c r="N12" s="658">
        <f t="shared" si="3"/>
        <v>3.8135401841051732E-3</v>
      </c>
      <c r="O12" s="657">
        <f t="shared" ref="O12:Q14" si="7">SUM(O40,O68,O118)</f>
        <v>3.8135401841051732E-3</v>
      </c>
      <c r="P12" s="656">
        <f t="shared" si="7"/>
        <v>0</v>
      </c>
      <c r="Q12" s="659">
        <f t="shared" si="7"/>
        <v>8.2301377878120049E-4</v>
      </c>
    </row>
    <row r="13" spans="1:22">
      <c r="A13" s="619"/>
      <c r="B13" s="652" t="s">
        <v>68</v>
      </c>
      <c r="C13" s="653" t="s">
        <v>9</v>
      </c>
      <c r="D13" s="645">
        <f t="shared" ref="D13:D65" si="8">O13+E13+I13+M13+P13+Q13</f>
        <v>4.8</v>
      </c>
      <c r="E13" s="646">
        <f t="shared" si="4"/>
        <v>0.28264397190339646</v>
      </c>
      <c r="F13" s="654">
        <f t="shared" si="5"/>
        <v>4.2023563270843646E-2</v>
      </c>
      <c r="G13" s="655">
        <f t="shared" si="5"/>
        <v>3.286556483265618E-2</v>
      </c>
      <c r="H13" s="656">
        <f t="shared" si="5"/>
        <v>0.20775484379989664</v>
      </c>
      <c r="I13" s="645">
        <f t="shared" si="2"/>
        <v>0.52748743112030616</v>
      </c>
      <c r="J13" s="654">
        <f t="shared" si="6"/>
        <v>0.25104161552516741</v>
      </c>
      <c r="K13" s="655">
        <f t="shared" si="6"/>
        <v>0.19302215976952225</v>
      </c>
      <c r="L13" s="656">
        <f t="shared" si="6"/>
        <v>8.3423655825616463E-2</v>
      </c>
      <c r="M13" s="657">
        <f t="shared" si="6"/>
        <v>4.1904245636093539E-2</v>
      </c>
      <c r="N13" s="658">
        <f t="shared" si="3"/>
        <v>3.9394504156976398</v>
      </c>
      <c r="O13" s="657">
        <f t="shared" si="7"/>
        <v>3.9394504156976398</v>
      </c>
      <c r="P13" s="656">
        <f t="shared" si="7"/>
        <v>0</v>
      </c>
      <c r="Q13" s="659">
        <f t="shared" si="7"/>
        <v>8.5139356425641428E-3</v>
      </c>
    </row>
    <row r="14" spans="1:22">
      <c r="A14" s="619"/>
      <c r="B14" s="652" t="s">
        <v>592</v>
      </c>
      <c r="C14" s="653" t="s">
        <v>11</v>
      </c>
      <c r="D14" s="645">
        <f t="shared" si="8"/>
        <v>0</v>
      </c>
      <c r="E14" s="646">
        <f t="shared" si="4"/>
        <v>0</v>
      </c>
      <c r="F14" s="654">
        <f t="shared" si="5"/>
        <v>0</v>
      </c>
      <c r="G14" s="655">
        <f t="shared" si="5"/>
        <v>0</v>
      </c>
      <c r="H14" s="656">
        <f t="shared" si="5"/>
        <v>0</v>
      </c>
      <c r="I14" s="645">
        <f t="shared" si="2"/>
        <v>0</v>
      </c>
      <c r="J14" s="654">
        <f t="shared" si="6"/>
        <v>0</v>
      </c>
      <c r="K14" s="655">
        <f t="shared" si="6"/>
        <v>0</v>
      </c>
      <c r="L14" s="656">
        <f t="shared" si="6"/>
        <v>0</v>
      </c>
      <c r="M14" s="657">
        <f t="shared" si="6"/>
        <v>0</v>
      </c>
      <c r="N14" s="658">
        <f t="shared" si="3"/>
        <v>0</v>
      </c>
      <c r="O14" s="657">
        <f t="shared" si="7"/>
        <v>0</v>
      </c>
      <c r="P14" s="656">
        <f t="shared" si="7"/>
        <v>0</v>
      </c>
      <c r="Q14" s="659">
        <f t="shared" si="7"/>
        <v>0</v>
      </c>
    </row>
    <row r="15" spans="1:22">
      <c r="A15" s="642"/>
      <c r="B15" s="643" t="s">
        <v>70</v>
      </c>
      <c r="C15" s="660" t="s">
        <v>13</v>
      </c>
      <c r="D15" s="645">
        <f t="shared" si="8"/>
        <v>18693.566300000002</v>
      </c>
      <c r="E15" s="646">
        <f t="shared" si="4"/>
        <v>7640.2620396468883</v>
      </c>
      <c r="F15" s="647">
        <f>SUM(F16:F21)</f>
        <v>405.498699539999</v>
      </c>
      <c r="G15" s="648">
        <f>SUM(G16:G21)</f>
        <v>1041.4557360457852</v>
      </c>
      <c r="H15" s="649">
        <f>SUM(H16:H21)</f>
        <v>6193.307604061104</v>
      </c>
      <c r="I15" s="645">
        <f t="shared" si="2"/>
        <v>9940.6886162783703</v>
      </c>
      <c r="J15" s="647">
        <f t="shared" ref="J15:Q15" si="9">SUM(J16:J21)</f>
        <v>7097.6047345596298</v>
      </c>
      <c r="K15" s="648">
        <f t="shared" si="9"/>
        <v>2030.5617907372425</v>
      </c>
      <c r="L15" s="649">
        <f t="shared" si="9"/>
        <v>812.52209098149774</v>
      </c>
      <c r="M15" s="650">
        <f t="shared" si="9"/>
        <v>1099.9821409559704</v>
      </c>
      <c r="N15" s="645">
        <f t="shared" si="3"/>
        <v>10.366593088857257</v>
      </c>
      <c r="O15" s="650">
        <f>SUM(O16:O21)</f>
        <v>10.366593088857257</v>
      </c>
      <c r="P15" s="649">
        <f t="shared" si="9"/>
        <v>0</v>
      </c>
      <c r="Q15" s="651">
        <f t="shared" si="9"/>
        <v>2.2669100299159561</v>
      </c>
    </row>
    <row r="16" spans="1:22">
      <c r="A16" s="619"/>
      <c r="B16" s="652" t="s">
        <v>72</v>
      </c>
      <c r="C16" s="653" t="s">
        <v>15</v>
      </c>
      <c r="D16" s="645">
        <f t="shared" si="8"/>
        <v>2649.4989999999998</v>
      </c>
      <c r="E16" s="646">
        <f t="shared" si="4"/>
        <v>999.76345632223058</v>
      </c>
      <c r="F16" s="654">
        <f t="shared" ref="F16:H21" si="10">SUM(F44,F72,F122)</f>
        <v>10.980830197148146</v>
      </c>
      <c r="G16" s="655">
        <f t="shared" si="10"/>
        <v>689.54117793958471</v>
      </c>
      <c r="H16" s="656">
        <f t="shared" si="10"/>
        <v>299.24144818549769</v>
      </c>
      <c r="I16" s="645">
        <f t="shared" si="2"/>
        <v>1628.2160904414668</v>
      </c>
      <c r="J16" s="654">
        <f t="shared" ref="J16:M21" si="11">SUM(J44,J72,J122)</f>
        <v>899.1618028530944</v>
      </c>
      <c r="K16" s="655">
        <f t="shared" si="11"/>
        <v>646.67470393292467</v>
      </c>
      <c r="L16" s="656">
        <f t="shared" si="11"/>
        <v>82.379583655447718</v>
      </c>
      <c r="M16" s="657">
        <f t="shared" si="11"/>
        <v>10.400830076333818</v>
      </c>
      <c r="N16" s="658">
        <f t="shared" si="3"/>
        <v>9.1206126380226618</v>
      </c>
      <c r="O16" s="657">
        <f t="shared" ref="O16:Q21" si="12">SUM(O44,O72,O122)</f>
        <v>9.1206126380226618</v>
      </c>
      <c r="P16" s="649">
        <f t="shared" si="12"/>
        <v>0</v>
      </c>
      <c r="Q16" s="651">
        <f t="shared" si="12"/>
        <v>1.998010521946171</v>
      </c>
    </row>
    <row r="17" spans="1:17">
      <c r="A17" s="619"/>
      <c r="B17" s="652" t="s">
        <v>80</v>
      </c>
      <c r="C17" s="653" t="s">
        <v>593</v>
      </c>
      <c r="D17" s="645">
        <f t="shared" si="8"/>
        <v>231.40778999999992</v>
      </c>
      <c r="E17" s="646">
        <f t="shared" si="4"/>
        <v>31.793173324656607</v>
      </c>
      <c r="F17" s="654">
        <f t="shared" si="10"/>
        <v>11.453459342850758</v>
      </c>
      <c r="G17" s="655">
        <f t="shared" si="10"/>
        <v>5.0926881062004252</v>
      </c>
      <c r="H17" s="656">
        <f t="shared" si="10"/>
        <v>15.247025875605422</v>
      </c>
      <c r="I17" s="645">
        <f t="shared" si="2"/>
        <v>196.77625583690229</v>
      </c>
      <c r="J17" s="654">
        <f t="shared" si="11"/>
        <v>15.70156170653399</v>
      </c>
      <c r="K17" s="655">
        <f t="shared" si="11"/>
        <v>164.62501680431799</v>
      </c>
      <c r="L17" s="656">
        <f t="shared" si="11"/>
        <v>16.449677326050317</v>
      </c>
      <c r="M17" s="657">
        <f t="shared" si="11"/>
        <v>1.3234808796366431</v>
      </c>
      <c r="N17" s="658">
        <f t="shared" si="3"/>
        <v>1.2459804508345953</v>
      </c>
      <c r="O17" s="657">
        <f t="shared" si="12"/>
        <v>1.2459804508345953</v>
      </c>
      <c r="P17" s="649">
        <f t="shared" si="12"/>
        <v>0</v>
      </c>
      <c r="Q17" s="651">
        <f t="shared" si="12"/>
        <v>0.2688995079697849</v>
      </c>
    </row>
    <row r="18" spans="1:17">
      <c r="A18" s="619"/>
      <c r="B18" s="652" t="s">
        <v>90</v>
      </c>
      <c r="C18" s="653" t="s">
        <v>21</v>
      </c>
      <c r="D18" s="645">
        <f t="shared" si="8"/>
        <v>12944.158900000004</v>
      </c>
      <c r="E18" s="646">
        <f t="shared" si="4"/>
        <v>5858.1825400000007</v>
      </c>
      <c r="F18" s="654">
        <f t="shared" si="10"/>
        <v>0</v>
      </c>
      <c r="G18" s="655">
        <f t="shared" si="10"/>
        <v>0</v>
      </c>
      <c r="H18" s="656">
        <f t="shared" si="10"/>
        <v>5858.1825400000007</v>
      </c>
      <c r="I18" s="645">
        <f t="shared" si="2"/>
        <v>5997.7185300000019</v>
      </c>
      <c r="J18" s="654">
        <f t="shared" si="11"/>
        <v>5997.7185300000019</v>
      </c>
      <c r="K18" s="655">
        <f t="shared" si="11"/>
        <v>0</v>
      </c>
      <c r="L18" s="656">
        <f t="shared" si="11"/>
        <v>0</v>
      </c>
      <c r="M18" s="657">
        <f t="shared" si="11"/>
        <v>1088.25783</v>
      </c>
      <c r="N18" s="658">
        <f t="shared" si="3"/>
        <v>0</v>
      </c>
      <c r="O18" s="657">
        <f t="shared" si="12"/>
        <v>0</v>
      </c>
      <c r="P18" s="649">
        <f t="shared" si="12"/>
        <v>0</v>
      </c>
      <c r="Q18" s="651">
        <f t="shared" si="12"/>
        <v>0</v>
      </c>
    </row>
    <row r="19" spans="1:17">
      <c r="A19" s="619"/>
      <c r="B19" s="652" t="s">
        <v>594</v>
      </c>
      <c r="C19" s="653" t="s">
        <v>23</v>
      </c>
      <c r="D19" s="645">
        <f t="shared" si="8"/>
        <v>0</v>
      </c>
      <c r="E19" s="646">
        <f t="shared" si="4"/>
        <v>0</v>
      </c>
      <c r="F19" s="654">
        <f t="shared" si="10"/>
        <v>0</v>
      </c>
      <c r="G19" s="655">
        <f t="shared" si="10"/>
        <v>0</v>
      </c>
      <c r="H19" s="656">
        <f t="shared" si="10"/>
        <v>0</v>
      </c>
      <c r="I19" s="645">
        <f t="shared" si="2"/>
        <v>0</v>
      </c>
      <c r="J19" s="654">
        <f t="shared" si="11"/>
        <v>0</v>
      </c>
      <c r="K19" s="655">
        <f t="shared" si="11"/>
        <v>0</v>
      </c>
      <c r="L19" s="656">
        <f t="shared" si="11"/>
        <v>0</v>
      </c>
      <c r="M19" s="657">
        <f t="shared" si="11"/>
        <v>0</v>
      </c>
      <c r="N19" s="658">
        <f t="shared" si="3"/>
        <v>0</v>
      </c>
      <c r="O19" s="657">
        <f t="shared" si="12"/>
        <v>0</v>
      </c>
      <c r="P19" s="649">
        <f t="shared" si="12"/>
        <v>0</v>
      </c>
      <c r="Q19" s="651">
        <f t="shared" si="12"/>
        <v>0</v>
      </c>
    </row>
    <row r="20" spans="1:17">
      <c r="A20" s="619"/>
      <c r="B20" s="652" t="s">
        <v>595</v>
      </c>
      <c r="C20" s="653" t="s">
        <v>25</v>
      </c>
      <c r="D20" s="645">
        <f t="shared" si="8"/>
        <v>0</v>
      </c>
      <c r="E20" s="646">
        <f t="shared" si="4"/>
        <v>0</v>
      </c>
      <c r="F20" s="654">
        <f t="shared" si="10"/>
        <v>0</v>
      </c>
      <c r="G20" s="655">
        <f t="shared" si="10"/>
        <v>0</v>
      </c>
      <c r="H20" s="656">
        <f t="shared" si="10"/>
        <v>0</v>
      </c>
      <c r="I20" s="645">
        <f t="shared" si="2"/>
        <v>0</v>
      </c>
      <c r="J20" s="654">
        <f t="shared" si="11"/>
        <v>0</v>
      </c>
      <c r="K20" s="655">
        <f t="shared" si="11"/>
        <v>0</v>
      </c>
      <c r="L20" s="656">
        <f t="shared" si="11"/>
        <v>0</v>
      </c>
      <c r="M20" s="657">
        <f t="shared" si="11"/>
        <v>0</v>
      </c>
      <c r="N20" s="658">
        <f t="shared" si="3"/>
        <v>0</v>
      </c>
      <c r="O20" s="657">
        <f t="shared" si="12"/>
        <v>0</v>
      </c>
      <c r="P20" s="649">
        <f t="shared" si="12"/>
        <v>0</v>
      </c>
      <c r="Q20" s="651">
        <f t="shared" si="12"/>
        <v>0</v>
      </c>
    </row>
    <row r="21" spans="1:17" ht="39">
      <c r="A21" s="619"/>
      <c r="B21" s="652" t="s">
        <v>596</v>
      </c>
      <c r="C21" s="653" t="s">
        <v>597</v>
      </c>
      <c r="D21" s="645">
        <f t="shared" si="8"/>
        <v>2868.5006099999996</v>
      </c>
      <c r="E21" s="646">
        <f t="shared" si="4"/>
        <v>750.52287000000013</v>
      </c>
      <c r="F21" s="654">
        <f t="shared" si="10"/>
        <v>383.06441000000007</v>
      </c>
      <c r="G21" s="655">
        <f t="shared" si="10"/>
        <v>346.82187000000005</v>
      </c>
      <c r="H21" s="656">
        <f t="shared" si="10"/>
        <v>20.636590000000005</v>
      </c>
      <c r="I21" s="645">
        <f t="shared" si="2"/>
        <v>2117.9777399999994</v>
      </c>
      <c r="J21" s="654">
        <f t="shared" si="11"/>
        <v>185.02284</v>
      </c>
      <c r="K21" s="655">
        <f t="shared" si="11"/>
        <v>1219.2620699999998</v>
      </c>
      <c r="L21" s="656">
        <f t="shared" si="11"/>
        <v>713.69282999999973</v>
      </c>
      <c r="M21" s="657">
        <f t="shared" si="11"/>
        <v>0</v>
      </c>
      <c r="N21" s="658">
        <f t="shared" si="3"/>
        <v>0</v>
      </c>
      <c r="O21" s="657">
        <f t="shared" si="12"/>
        <v>0</v>
      </c>
      <c r="P21" s="649">
        <f t="shared" si="12"/>
        <v>0</v>
      </c>
      <c r="Q21" s="651">
        <f t="shared" si="12"/>
        <v>0</v>
      </c>
    </row>
    <row r="22" spans="1:17">
      <c r="A22" s="642"/>
      <c r="B22" s="643" t="s">
        <v>98</v>
      </c>
      <c r="C22" s="661" t="s">
        <v>29</v>
      </c>
      <c r="D22" s="645">
        <f t="shared" si="8"/>
        <v>656.71004000000005</v>
      </c>
      <c r="E22" s="646">
        <f t="shared" si="4"/>
        <v>91.602586001540757</v>
      </c>
      <c r="F22" s="647">
        <f>SUM(F23:F24)</f>
        <v>83.382192076831188</v>
      </c>
      <c r="G22" s="648">
        <f t="shared" ref="G22:Q22" si="13">SUM(G23:G24)</f>
        <v>2.369416250112514</v>
      </c>
      <c r="H22" s="649">
        <f t="shared" si="13"/>
        <v>5.8509776745970576</v>
      </c>
      <c r="I22" s="645">
        <f t="shared" si="2"/>
        <v>565.05691717096283</v>
      </c>
      <c r="J22" s="647">
        <f t="shared" si="13"/>
        <v>101.76592938436197</v>
      </c>
      <c r="K22" s="648">
        <f t="shared" si="13"/>
        <v>235.23180397543973</v>
      </c>
      <c r="L22" s="649">
        <f t="shared" si="13"/>
        <v>228.05918381116106</v>
      </c>
      <c r="M22" s="650">
        <f t="shared" si="13"/>
        <v>4.8360229106221377E-2</v>
      </c>
      <c r="N22" s="645">
        <f t="shared" si="3"/>
        <v>1.4059697379883797E-4</v>
      </c>
      <c r="O22" s="650">
        <f>SUM(O23:O24)</f>
        <v>1.4059697379883797E-4</v>
      </c>
      <c r="P22" s="649">
        <f t="shared" si="13"/>
        <v>0</v>
      </c>
      <c r="Q22" s="651">
        <f t="shared" si="13"/>
        <v>2.0360014164328673E-3</v>
      </c>
    </row>
    <row r="23" spans="1:17" ht="52.5">
      <c r="A23" s="619"/>
      <c r="B23" s="652" t="s">
        <v>100</v>
      </c>
      <c r="C23" s="662" t="s">
        <v>31</v>
      </c>
      <c r="D23" s="645">
        <f t="shared" si="8"/>
        <v>582.16008999999997</v>
      </c>
      <c r="E23" s="646">
        <f t="shared" si="4"/>
        <v>91.082586001540747</v>
      </c>
      <c r="F23" s="654">
        <f>SUM(F51,F79,F129)</f>
        <v>83.382192076831188</v>
      </c>
      <c r="G23" s="655">
        <f>SUM(G51,G79,G129)</f>
        <v>2.369416250112514</v>
      </c>
      <c r="H23" s="656">
        <f>SUM(H51,H79,H129)</f>
        <v>5.3309776745970572</v>
      </c>
      <c r="I23" s="645">
        <f t="shared" si="2"/>
        <v>491.02696717096273</v>
      </c>
      <c r="J23" s="654">
        <f>SUM(J51,J79,J129)</f>
        <v>87.90597938436197</v>
      </c>
      <c r="K23" s="655">
        <f>SUM(K51,K79,K129)</f>
        <v>175.06180397543972</v>
      </c>
      <c r="L23" s="656">
        <f>SUM(L51,L79,L129)</f>
        <v>228.05918381116106</v>
      </c>
      <c r="M23" s="657">
        <f>SUM(M51,M79,M129)</f>
        <v>4.8360229106221377E-2</v>
      </c>
      <c r="N23" s="658">
        <f t="shared" si="3"/>
        <v>1.4059697379883797E-4</v>
      </c>
      <c r="O23" s="657">
        <f>SUM(O51,O79,O129)</f>
        <v>1.4059697379883797E-4</v>
      </c>
      <c r="P23" s="649">
        <f>SUM(P51,P79,P129)</f>
        <v>0</v>
      </c>
      <c r="Q23" s="651">
        <f>SUM(Q51,Q79,Q129)</f>
        <v>2.0360014164328673E-3</v>
      </c>
    </row>
    <row r="24" spans="1:17">
      <c r="A24" s="619"/>
      <c r="B24" s="652" t="s">
        <v>102</v>
      </c>
      <c r="C24" s="662" t="s">
        <v>33</v>
      </c>
      <c r="D24" s="645">
        <f t="shared" si="8"/>
        <v>74.549949999999995</v>
      </c>
      <c r="E24" s="646">
        <f t="shared" si="4"/>
        <v>0.52</v>
      </c>
      <c r="F24" s="654">
        <f>SUM(F52,F80)</f>
        <v>0</v>
      </c>
      <c r="G24" s="655">
        <f>SUM(G52,G80)</f>
        <v>0</v>
      </c>
      <c r="H24" s="656">
        <f>SUM(H52,H80)</f>
        <v>0.52</v>
      </c>
      <c r="I24" s="645">
        <f t="shared" si="2"/>
        <v>74.029949999999999</v>
      </c>
      <c r="J24" s="654">
        <f>SUM(J52,J80)</f>
        <v>13.859950000000001</v>
      </c>
      <c r="K24" s="655">
        <f>SUM(K52,K80)</f>
        <v>60.17</v>
      </c>
      <c r="L24" s="656">
        <f>SUM(L52,L80)</f>
        <v>0</v>
      </c>
      <c r="M24" s="657">
        <f>SUM(M52,M80)</f>
        <v>0</v>
      </c>
      <c r="N24" s="658">
        <f t="shared" si="3"/>
        <v>0</v>
      </c>
      <c r="O24" s="657">
        <f>SUM(O52,O80)</f>
        <v>0</v>
      </c>
      <c r="P24" s="649">
        <f>SUM(P52,P80)</f>
        <v>0</v>
      </c>
      <c r="Q24" s="651">
        <f>SUM(Q52,Q80)</f>
        <v>0</v>
      </c>
    </row>
    <row r="25" spans="1:17">
      <c r="A25" s="642"/>
      <c r="B25" s="643" t="s">
        <v>257</v>
      </c>
      <c r="C25" s="661" t="s">
        <v>35</v>
      </c>
      <c r="D25" s="645">
        <f t="shared" si="8"/>
        <v>117.55688999999998</v>
      </c>
      <c r="E25" s="646">
        <f t="shared" si="4"/>
        <v>54.605221689078192</v>
      </c>
      <c r="F25" s="647">
        <f>SUM(F26:F30)</f>
        <v>17.912691375237362</v>
      </c>
      <c r="G25" s="648">
        <f t="shared" ref="G25:Q25" si="14">SUM(G26:G30)</f>
        <v>20.11780906487185</v>
      </c>
      <c r="H25" s="649">
        <f t="shared" si="14"/>
        <v>16.574721248968988</v>
      </c>
      <c r="I25" s="645">
        <f t="shared" si="2"/>
        <v>60.931818298837449</v>
      </c>
      <c r="J25" s="647">
        <f t="shared" si="14"/>
        <v>18.518538649870443</v>
      </c>
      <c r="K25" s="648">
        <f t="shared" si="14"/>
        <v>41.538973316997577</v>
      </c>
      <c r="L25" s="649">
        <f t="shared" si="14"/>
        <v>0.87430633196943075</v>
      </c>
      <c r="M25" s="650">
        <f t="shared" si="14"/>
        <v>0.62291576431397122</v>
      </c>
      <c r="N25" s="645">
        <f t="shared" si="3"/>
        <v>1.3392299150066609</v>
      </c>
      <c r="O25" s="650">
        <f>SUM(O26:O30)</f>
        <v>1.3392299150066609</v>
      </c>
      <c r="P25" s="649">
        <f t="shared" si="14"/>
        <v>0</v>
      </c>
      <c r="Q25" s="651">
        <f t="shared" si="14"/>
        <v>5.7704332763708066E-2</v>
      </c>
    </row>
    <row r="26" spans="1:17">
      <c r="A26" s="619"/>
      <c r="B26" s="652" t="s">
        <v>598</v>
      </c>
      <c r="C26" s="662" t="s">
        <v>37</v>
      </c>
      <c r="D26" s="645">
        <f t="shared" si="8"/>
        <v>0</v>
      </c>
      <c r="E26" s="663">
        <f t="shared" si="4"/>
        <v>0</v>
      </c>
      <c r="F26" s="664">
        <f t="shared" ref="F26:H30" si="15">SUM(F54,F82,F131)</f>
        <v>0</v>
      </c>
      <c r="G26" s="665">
        <f t="shared" si="15"/>
        <v>0</v>
      </c>
      <c r="H26" s="666">
        <f t="shared" si="15"/>
        <v>0</v>
      </c>
      <c r="I26" s="667">
        <f t="shared" si="2"/>
        <v>0</v>
      </c>
      <c r="J26" s="664">
        <f t="shared" ref="J26:M30" si="16">SUM(J54,J82,J131)</f>
        <v>0</v>
      </c>
      <c r="K26" s="665">
        <f t="shared" si="16"/>
        <v>0</v>
      </c>
      <c r="L26" s="666">
        <f t="shared" si="16"/>
        <v>0</v>
      </c>
      <c r="M26" s="668">
        <f t="shared" si="16"/>
        <v>0</v>
      </c>
      <c r="N26" s="372">
        <f t="shared" si="3"/>
        <v>0</v>
      </c>
      <c r="O26" s="657">
        <f t="shared" ref="O26:Q30" si="17">SUM(O54,O82,O131)</f>
        <v>0</v>
      </c>
      <c r="P26" s="666">
        <f t="shared" si="17"/>
        <v>0</v>
      </c>
      <c r="Q26" s="669">
        <f t="shared" si="17"/>
        <v>0</v>
      </c>
    </row>
    <row r="27" spans="1:17">
      <c r="A27" s="619"/>
      <c r="B27" s="652" t="s">
        <v>599</v>
      </c>
      <c r="C27" s="670" t="s">
        <v>40</v>
      </c>
      <c r="D27" s="645">
        <f t="shared" si="8"/>
        <v>0</v>
      </c>
      <c r="E27" s="663">
        <f t="shared" si="4"/>
        <v>0</v>
      </c>
      <c r="F27" s="664">
        <f t="shared" si="15"/>
        <v>0</v>
      </c>
      <c r="G27" s="665">
        <f t="shared" si="15"/>
        <v>0</v>
      </c>
      <c r="H27" s="666">
        <f t="shared" si="15"/>
        <v>0</v>
      </c>
      <c r="I27" s="667">
        <f t="shared" si="2"/>
        <v>0</v>
      </c>
      <c r="J27" s="664">
        <f t="shared" si="16"/>
        <v>0</v>
      </c>
      <c r="K27" s="665">
        <f t="shared" si="16"/>
        <v>0</v>
      </c>
      <c r="L27" s="666">
        <f t="shared" si="16"/>
        <v>0</v>
      </c>
      <c r="M27" s="668">
        <f t="shared" si="16"/>
        <v>0</v>
      </c>
      <c r="N27" s="372">
        <f t="shared" si="3"/>
        <v>0</v>
      </c>
      <c r="O27" s="657">
        <f t="shared" si="17"/>
        <v>0</v>
      </c>
      <c r="P27" s="666">
        <f t="shared" si="17"/>
        <v>0</v>
      </c>
      <c r="Q27" s="669">
        <f t="shared" si="17"/>
        <v>0</v>
      </c>
    </row>
    <row r="28" spans="1:17">
      <c r="A28" s="619"/>
      <c r="B28" s="652" t="s">
        <v>600</v>
      </c>
      <c r="C28" s="670" t="s">
        <v>43</v>
      </c>
      <c r="D28" s="645">
        <f t="shared" si="8"/>
        <v>0</v>
      </c>
      <c r="E28" s="663">
        <f t="shared" si="4"/>
        <v>0</v>
      </c>
      <c r="F28" s="664">
        <f t="shared" si="15"/>
        <v>0</v>
      </c>
      <c r="G28" s="665">
        <f t="shared" si="15"/>
        <v>0</v>
      </c>
      <c r="H28" s="666">
        <f t="shared" si="15"/>
        <v>0</v>
      </c>
      <c r="I28" s="667">
        <f t="shared" si="2"/>
        <v>0</v>
      </c>
      <c r="J28" s="664">
        <f t="shared" si="16"/>
        <v>0</v>
      </c>
      <c r="K28" s="665">
        <f t="shared" si="16"/>
        <v>0</v>
      </c>
      <c r="L28" s="666">
        <f t="shared" si="16"/>
        <v>0</v>
      </c>
      <c r="M28" s="668">
        <f t="shared" si="16"/>
        <v>0</v>
      </c>
      <c r="N28" s="372">
        <f t="shared" si="3"/>
        <v>0</v>
      </c>
      <c r="O28" s="657">
        <f t="shared" si="17"/>
        <v>0</v>
      </c>
      <c r="P28" s="666">
        <f t="shared" si="17"/>
        <v>0</v>
      </c>
      <c r="Q28" s="669">
        <f t="shared" si="17"/>
        <v>0</v>
      </c>
    </row>
    <row r="29" spans="1:17" ht="26.5">
      <c r="A29" s="619"/>
      <c r="B29" s="652" t="s">
        <v>601</v>
      </c>
      <c r="C29" s="670" t="s">
        <v>45</v>
      </c>
      <c r="D29" s="645">
        <f t="shared" si="8"/>
        <v>0.21480000000000002</v>
      </c>
      <c r="E29" s="663">
        <f t="shared" si="4"/>
        <v>0.21480000000000002</v>
      </c>
      <c r="F29" s="664">
        <f t="shared" si="15"/>
        <v>0.21480000000000002</v>
      </c>
      <c r="G29" s="665">
        <f t="shared" si="15"/>
        <v>0</v>
      </c>
      <c r="H29" s="666">
        <f t="shared" si="15"/>
        <v>0</v>
      </c>
      <c r="I29" s="667">
        <f t="shared" si="2"/>
        <v>0</v>
      </c>
      <c r="J29" s="664">
        <f t="shared" si="16"/>
        <v>0</v>
      </c>
      <c r="K29" s="665">
        <f t="shared" si="16"/>
        <v>0</v>
      </c>
      <c r="L29" s="666">
        <f t="shared" si="16"/>
        <v>0</v>
      </c>
      <c r="M29" s="668">
        <f t="shared" si="16"/>
        <v>0</v>
      </c>
      <c r="N29" s="372">
        <f t="shared" si="3"/>
        <v>0</v>
      </c>
      <c r="O29" s="657">
        <f t="shared" si="17"/>
        <v>0</v>
      </c>
      <c r="P29" s="666">
        <f t="shared" si="17"/>
        <v>0</v>
      </c>
      <c r="Q29" s="669">
        <f t="shared" si="17"/>
        <v>0</v>
      </c>
    </row>
    <row r="30" spans="1:17" ht="26.5">
      <c r="A30" s="619"/>
      <c r="B30" s="652" t="s">
        <v>602</v>
      </c>
      <c r="C30" s="671" t="s">
        <v>603</v>
      </c>
      <c r="D30" s="645">
        <f t="shared" si="8"/>
        <v>117.34208999999998</v>
      </c>
      <c r="E30" s="663">
        <f t="shared" si="4"/>
        <v>54.390421689078195</v>
      </c>
      <c r="F30" s="664">
        <f t="shared" si="15"/>
        <v>17.697891375237361</v>
      </c>
      <c r="G30" s="665">
        <f t="shared" si="15"/>
        <v>20.11780906487185</v>
      </c>
      <c r="H30" s="666">
        <f t="shared" si="15"/>
        <v>16.574721248968988</v>
      </c>
      <c r="I30" s="667">
        <f t="shared" si="2"/>
        <v>60.931818298837449</v>
      </c>
      <c r="J30" s="664">
        <f t="shared" si="16"/>
        <v>18.518538649870443</v>
      </c>
      <c r="K30" s="665">
        <f t="shared" si="16"/>
        <v>41.538973316997577</v>
      </c>
      <c r="L30" s="666">
        <f t="shared" si="16"/>
        <v>0.87430633196943075</v>
      </c>
      <c r="M30" s="668">
        <f t="shared" si="16"/>
        <v>0.62291576431397122</v>
      </c>
      <c r="N30" s="372">
        <f t="shared" si="3"/>
        <v>1.3392299150066609</v>
      </c>
      <c r="O30" s="657">
        <f t="shared" si="17"/>
        <v>1.3392299150066609</v>
      </c>
      <c r="P30" s="666">
        <f t="shared" si="17"/>
        <v>0</v>
      </c>
      <c r="Q30" s="669">
        <f t="shared" si="17"/>
        <v>5.7704332763708066E-2</v>
      </c>
    </row>
    <row r="31" spans="1:17">
      <c r="A31" s="642"/>
      <c r="B31" s="643" t="s">
        <v>259</v>
      </c>
      <c r="C31" s="672" t="s">
        <v>51</v>
      </c>
      <c r="D31" s="673">
        <f>O31+E31+I31+M31+P31+Q31</f>
        <v>172.00558999999998</v>
      </c>
      <c r="E31" s="674">
        <f>SUM(F31:H31)</f>
        <v>52.852301442079956</v>
      </c>
      <c r="F31" s="675">
        <f>SUM(F32:F33)</f>
        <v>1.23535456941818</v>
      </c>
      <c r="G31" s="676">
        <f>SUM(G32:G33)</f>
        <v>1.4828043871305097</v>
      </c>
      <c r="H31" s="677">
        <f>SUM(H32:H33)</f>
        <v>50.134142485531264</v>
      </c>
      <c r="I31" s="678">
        <f t="shared" si="2"/>
        <v>58.75229030621837</v>
      </c>
      <c r="J31" s="675">
        <f>SUM(J32:J33)</f>
        <v>21.207624470510929</v>
      </c>
      <c r="K31" s="676">
        <f>SUM(K32:K33)</f>
        <v>13.383934780236835</v>
      </c>
      <c r="L31" s="677">
        <f>SUM(L32:L33)</f>
        <v>24.16073105547061</v>
      </c>
      <c r="M31" s="679">
        <f>SUM(M32:M33)</f>
        <v>55.962378021770952</v>
      </c>
      <c r="N31" s="678">
        <f>+O31+P31</f>
        <v>4.168198752388359</v>
      </c>
      <c r="O31" s="679">
        <f>SUM(O32:O33)</f>
        <v>4.168198752388359</v>
      </c>
      <c r="P31" s="677">
        <f>SUM(P32:P33)</f>
        <v>0</v>
      </c>
      <c r="Q31" s="680">
        <f>SUM(Q32:Q33)</f>
        <v>0.2704214775423544</v>
      </c>
    </row>
    <row r="32" spans="1:17">
      <c r="A32" s="642"/>
      <c r="B32" s="681" t="s">
        <v>261</v>
      </c>
      <c r="C32" s="682" t="s">
        <v>53</v>
      </c>
      <c r="D32" s="683">
        <f t="shared" si="8"/>
        <v>35.1</v>
      </c>
      <c r="E32" s="684">
        <f t="shared" si="4"/>
        <v>8.1465894407373725</v>
      </c>
      <c r="F32" s="685">
        <f t="shared" ref="F32:H33" si="18">SUM(F60,F88,F137)</f>
        <v>0.94765061336188272</v>
      </c>
      <c r="G32" s="686">
        <f t="shared" si="18"/>
        <v>0.94742655871076287</v>
      </c>
      <c r="H32" s="687">
        <f t="shared" si="18"/>
        <v>6.251512268664726</v>
      </c>
      <c r="I32" s="416">
        <f t="shared" si="2"/>
        <v>20.724529702908345</v>
      </c>
      <c r="J32" s="685">
        <f t="shared" ref="J32:M33" si="19">SUM(J60,J88,J137)</f>
        <v>8.1876665953798557</v>
      </c>
      <c r="K32" s="686">
        <f t="shared" si="19"/>
        <v>9.7738754824933078</v>
      </c>
      <c r="L32" s="687">
        <f t="shared" si="19"/>
        <v>2.7629876250351839</v>
      </c>
      <c r="M32" s="688">
        <f t="shared" si="19"/>
        <v>1.865508185454174</v>
      </c>
      <c r="N32" s="689">
        <f t="shared" si="3"/>
        <v>4.1633381501142175</v>
      </c>
      <c r="O32" s="657">
        <f t="shared" ref="O32:Q33" si="20">SUM(O60,O88,O137)</f>
        <v>4.1633381501142175</v>
      </c>
      <c r="P32" s="687">
        <f t="shared" si="20"/>
        <v>0</v>
      </c>
      <c r="Q32" s="690">
        <f t="shared" si="20"/>
        <v>0.20003452078588921</v>
      </c>
    </row>
    <row r="33" spans="1:21" ht="26.5">
      <c r="A33" s="642"/>
      <c r="B33" s="681" t="s">
        <v>263</v>
      </c>
      <c r="C33" s="691" t="s">
        <v>55</v>
      </c>
      <c r="D33" s="673">
        <f t="shared" si="8"/>
        <v>136.90558999999999</v>
      </c>
      <c r="E33" s="674">
        <f>SUM(F33:H33)</f>
        <v>44.705712001342583</v>
      </c>
      <c r="F33" s="520">
        <f t="shared" si="18"/>
        <v>0.28770395605629723</v>
      </c>
      <c r="G33" s="521">
        <f t="shared" si="18"/>
        <v>0.53537782841974679</v>
      </c>
      <c r="H33" s="522">
        <f t="shared" si="18"/>
        <v>43.882630216866538</v>
      </c>
      <c r="I33" s="678">
        <f>SUM(J33:L33)</f>
        <v>38.027760603310028</v>
      </c>
      <c r="J33" s="520">
        <f t="shared" si="19"/>
        <v>13.019957875131075</v>
      </c>
      <c r="K33" s="521">
        <f t="shared" si="19"/>
        <v>3.6100592977435273</v>
      </c>
      <c r="L33" s="522">
        <f t="shared" si="19"/>
        <v>21.397743430435426</v>
      </c>
      <c r="M33" s="692">
        <f t="shared" si="19"/>
        <v>54.096869836316777</v>
      </c>
      <c r="N33" s="372">
        <f>+O33+P33</f>
        <v>4.8606022741413861E-3</v>
      </c>
      <c r="O33" s="657">
        <f t="shared" si="20"/>
        <v>4.8606022741413861E-3</v>
      </c>
      <c r="P33" s="522">
        <f t="shared" si="20"/>
        <v>0</v>
      </c>
      <c r="Q33" s="693">
        <f t="shared" si="20"/>
        <v>7.0386956756465183E-2</v>
      </c>
      <c r="S33" s="506"/>
    </row>
    <row r="34" spans="1:21">
      <c r="A34" s="642"/>
      <c r="B34" s="694" t="s">
        <v>267</v>
      </c>
      <c r="C34" s="695" t="s">
        <v>604</v>
      </c>
      <c r="D34" s="673">
        <f>O34+E34+I34+M34+P34+Q34</f>
        <v>9.6850699999999996</v>
      </c>
      <c r="E34" s="674">
        <f>SUM(F34:H34)</f>
        <v>2.5126385417969597</v>
      </c>
      <c r="F34" s="675">
        <f>SUM(F35:F37)</f>
        <v>0.17073026314625631</v>
      </c>
      <c r="G34" s="676">
        <f t="shared" ref="G34:Q34" si="21">SUM(G35:G37)</f>
        <v>0.79638075139187225</v>
      </c>
      <c r="H34" s="677">
        <f t="shared" si="21"/>
        <v>1.5455275272588311</v>
      </c>
      <c r="I34" s="678">
        <f t="shared" si="2"/>
        <v>6.1569610009095781</v>
      </c>
      <c r="J34" s="675">
        <f t="shared" si="21"/>
        <v>1.0916460546548008</v>
      </c>
      <c r="K34" s="676">
        <f t="shared" si="21"/>
        <v>3.2813534604648034</v>
      </c>
      <c r="L34" s="677">
        <f t="shared" si="21"/>
        <v>1.7839614857899739</v>
      </c>
      <c r="M34" s="679">
        <f t="shared" si="21"/>
        <v>0.19638110806125553</v>
      </c>
      <c r="N34" s="678">
        <f t="shared" si="3"/>
        <v>0.7842712481479851</v>
      </c>
      <c r="O34" s="679">
        <f>SUM(O35:O37)</f>
        <v>0.7842712481479851</v>
      </c>
      <c r="P34" s="677">
        <f t="shared" si="21"/>
        <v>0</v>
      </c>
      <c r="Q34" s="680">
        <f t="shared" si="21"/>
        <v>3.481810108422153E-2</v>
      </c>
    </row>
    <row r="35" spans="1:21">
      <c r="A35" s="619"/>
      <c r="B35" s="696" t="s">
        <v>269</v>
      </c>
      <c r="C35" s="697" t="s">
        <v>1433</v>
      </c>
      <c r="D35" s="673">
        <f t="shared" si="8"/>
        <v>1.7319199999999999</v>
      </c>
      <c r="E35" s="674">
        <f t="shared" si="4"/>
        <v>8.6849056849219675E-2</v>
      </c>
      <c r="F35" s="520">
        <f t="shared" ref="F35:H37" si="22">SUM(F63,F91,F140)</f>
        <v>5.4291762349504514E-3</v>
      </c>
      <c r="G35" s="521">
        <f t="shared" si="22"/>
        <v>1.0102956603791367E-2</v>
      </c>
      <c r="H35" s="522">
        <f t="shared" si="22"/>
        <v>7.1316924010477858E-2</v>
      </c>
      <c r="I35" s="678">
        <f t="shared" si="2"/>
        <v>1.6121016076834831</v>
      </c>
      <c r="J35" s="520">
        <f t="shared" ref="J35:M37" si="23">SUM(J63,J91,J140)</f>
        <v>0.10416549193270389</v>
      </c>
      <c r="K35" s="521">
        <f t="shared" si="23"/>
        <v>1.472124360939395</v>
      </c>
      <c r="L35" s="522">
        <f t="shared" si="23"/>
        <v>3.5811754811384142E-2</v>
      </c>
      <c r="M35" s="692">
        <f t="shared" si="23"/>
        <v>3.1549361043493714E-2</v>
      </c>
      <c r="N35" s="523">
        <f t="shared" si="3"/>
        <v>9.1722987462677707E-5</v>
      </c>
      <c r="O35" s="692">
        <f t="shared" ref="O35:Q37" si="24">SUM(O63,O91,O140)</f>
        <v>9.1722987462677707E-5</v>
      </c>
      <c r="P35" s="522">
        <f t="shared" si="24"/>
        <v>0</v>
      </c>
      <c r="Q35" s="693">
        <f t="shared" si="24"/>
        <v>1.3282514363407258E-3</v>
      </c>
    </row>
    <row r="36" spans="1:21">
      <c r="A36" s="619"/>
      <c r="B36" s="696" t="s">
        <v>605</v>
      </c>
      <c r="C36" s="697" t="s">
        <v>47</v>
      </c>
      <c r="D36" s="673">
        <f t="shared" si="8"/>
        <v>7.9531499999999991</v>
      </c>
      <c r="E36" s="674">
        <f t="shared" si="4"/>
        <v>2.4257894849477402</v>
      </c>
      <c r="F36" s="520">
        <f t="shared" si="22"/>
        <v>0.16530108691130585</v>
      </c>
      <c r="G36" s="521">
        <f t="shared" si="22"/>
        <v>0.78627779478808091</v>
      </c>
      <c r="H36" s="522">
        <f t="shared" si="22"/>
        <v>1.4742106032483533</v>
      </c>
      <c r="I36" s="678">
        <f t="shared" si="2"/>
        <v>4.5448593932260941</v>
      </c>
      <c r="J36" s="520">
        <f t="shared" si="23"/>
        <v>0.98748056272209683</v>
      </c>
      <c r="K36" s="521">
        <f t="shared" si="23"/>
        <v>1.8092290995254081</v>
      </c>
      <c r="L36" s="522">
        <f t="shared" si="23"/>
        <v>1.7481497309785898</v>
      </c>
      <c r="M36" s="692">
        <f t="shared" si="23"/>
        <v>0.16483174701776182</v>
      </c>
      <c r="N36" s="523">
        <f t="shared" si="3"/>
        <v>0.78417952516052247</v>
      </c>
      <c r="O36" s="692">
        <f t="shared" si="24"/>
        <v>0.78417952516052247</v>
      </c>
      <c r="P36" s="522">
        <f t="shared" si="24"/>
        <v>0</v>
      </c>
      <c r="Q36" s="693">
        <f t="shared" si="24"/>
        <v>3.3489849647880807E-2</v>
      </c>
    </row>
    <row r="37" spans="1:21" ht="15" thickBot="1">
      <c r="A37" s="619"/>
      <c r="B37" s="698" t="s">
        <v>606</v>
      </c>
      <c r="C37" s="699" t="s">
        <v>1434</v>
      </c>
      <c r="D37" s="700">
        <f t="shared" si="8"/>
        <v>0</v>
      </c>
      <c r="E37" s="701">
        <f t="shared" si="4"/>
        <v>0</v>
      </c>
      <c r="F37" s="702">
        <f t="shared" si="22"/>
        <v>0</v>
      </c>
      <c r="G37" s="703">
        <f t="shared" si="22"/>
        <v>0</v>
      </c>
      <c r="H37" s="704">
        <f t="shared" si="22"/>
        <v>0</v>
      </c>
      <c r="I37" s="705">
        <f t="shared" si="2"/>
        <v>0</v>
      </c>
      <c r="J37" s="702">
        <f t="shared" si="23"/>
        <v>0</v>
      </c>
      <c r="K37" s="703">
        <f t="shared" si="23"/>
        <v>0</v>
      </c>
      <c r="L37" s="704">
        <f t="shared" si="23"/>
        <v>0</v>
      </c>
      <c r="M37" s="706">
        <f t="shared" si="23"/>
        <v>0</v>
      </c>
      <c r="N37" s="689">
        <f t="shared" si="3"/>
        <v>0</v>
      </c>
      <c r="O37" s="706">
        <f t="shared" si="24"/>
        <v>0</v>
      </c>
      <c r="P37" s="704">
        <f t="shared" si="24"/>
        <v>0</v>
      </c>
      <c r="Q37" s="707">
        <f t="shared" si="24"/>
        <v>0</v>
      </c>
    </row>
    <row r="38" spans="1:21" ht="15.5" thickTop="1" thickBot="1">
      <c r="A38" s="618"/>
      <c r="B38" s="634" t="s">
        <v>103</v>
      </c>
      <c r="C38" s="634" t="s">
        <v>607</v>
      </c>
      <c r="D38" s="708">
        <f t="shared" si="8"/>
        <v>19351.402170000005</v>
      </c>
      <c r="E38" s="709">
        <f>E39+E43+E50+E53+E59+E62</f>
        <v>7749.033620000002</v>
      </c>
      <c r="F38" s="710">
        <f t="shared" ref="F38:Q38" si="25">F39+F43+F50+F53+F59+F62</f>
        <v>495.35211000000004</v>
      </c>
      <c r="G38" s="711">
        <f t="shared" si="25"/>
        <v>1055.4307799999999</v>
      </c>
      <c r="H38" s="712">
        <f t="shared" si="25"/>
        <v>6198.2507300000007</v>
      </c>
      <c r="I38" s="709">
        <f t="shared" si="25"/>
        <v>10452.55272</v>
      </c>
      <c r="J38" s="710">
        <f t="shared" si="25"/>
        <v>7154.3319400000019</v>
      </c>
      <c r="K38" s="711">
        <f t="shared" si="25"/>
        <v>2259.5034099999998</v>
      </c>
      <c r="L38" s="712">
        <f t="shared" si="25"/>
        <v>1038.7173699999998</v>
      </c>
      <c r="M38" s="709">
        <f t="shared" si="25"/>
        <v>1140.68283</v>
      </c>
      <c r="N38" s="713">
        <f t="shared" ref="N38:N93" si="26">O38+P38</f>
        <v>9.1330000000000009</v>
      </c>
      <c r="O38" s="711">
        <f>O39+O43+O50+O53+O59+O62</f>
        <v>9.1330000000000009</v>
      </c>
      <c r="P38" s="711">
        <f t="shared" si="25"/>
        <v>0</v>
      </c>
      <c r="Q38" s="714">
        <f t="shared" si="25"/>
        <v>0</v>
      </c>
    </row>
    <row r="39" spans="1:21" ht="15" thickTop="1">
      <c r="A39" s="618"/>
      <c r="B39" s="643" t="s">
        <v>105</v>
      </c>
      <c r="C39" s="644" t="s">
        <v>6</v>
      </c>
      <c r="D39" s="715">
        <f t="shared" si="8"/>
        <v>3.9</v>
      </c>
      <c r="E39" s="716">
        <f>SUM(F39:H39)</f>
        <v>0</v>
      </c>
      <c r="F39" s="717">
        <f>SUM(F40:F42)</f>
        <v>0</v>
      </c>
      <c r="G39" s="718">
        <f>SUM(G40:G42)</f>
        <v>0</v>
      </c>
      <c r="H39" s="719">
        <f>SUM(H40:H42)</f>
        <v>0</v>
      </c>
      <c r="I39" s="716">
        <f t="shared" ref="I39:I65" si="27">SUM(J39:L39)</f>
        <v>0</v>
      </c>
      <c r="J39" s="717">
        <f t="shared" ref="J39:Q39" si="28">SUM(J40:J42)</f>
        <v>0</v>
      </c>
      <c r="K39" s="718">
        <f t="shared" si="28"/>
        <v>0</v>
      </c>
      <c r="L39" s="719">
        <f t="shared" si="28"/>
        <v>0</v>
      </c>
      <c r="M39" s="716">
        <f t="shared" si="28"/>
        <v>0</v>
      </c>
      <c r="N39" s="720">
        <f t="shared" si="26"/>
        <v>3.9</v>
      </c>
      <c r="O39" s="718">
        <f>SUM(O40:O42)</f>
        <v>3.9</v>
      </c>
      <c r="P39" s="718">
        <f t="shared" si="28"/>
        <v>0</v>
      </c>
      <c r="Q39" s="721">
        <f t="shared" si="28"/>
        <v>0</v>
      </c>
    </row>
    <row r="40" spans="1:21">
      <c r="A40" s="642"/>
      <c r="B40" s="652" t="s">
        <v>107</v>
      </c>
      <c r="C40" s="653" t="s">
        <v>8</v>
      </c>
      <c r="D40" s="715">
        <f t="shared" si="8"/>
        <v>0</v>
      </c>
      <c r="E40" s="716">
        <f t="shared" ref="E40:E65" si="29">SUM(F40:H40)</f>
        <v>0</v>
      </c>
      <c r="F40" s="722">
        <v>0</v>
      </c>
      <c r="G40" s="723">
        <v>0</v>
      </c>
      <c r="H40" s="724">
        <v>0</v>
      </c>
      <c r="I40" s="716">
        <f t="shared" si="27"/>
        <v>0</v>
      </c>
      <c r="J40" s="722">
        <v>0</v>
      </c>
      <c r="K40" s="723">
        <v>0</v>
      </c>
      <c r="L40" s="724">
        <v>0</v>
      </c>
      <c r="M40" s="725">
        <v>0</v>
      </c>
      <c r="N40" s="720">
        <f t="shared" si="26"/>
        <v>0</v>
      </c>
      <c r="O40" s="723">
        <v>0</v>
      </c>
      <c r="P40" s="726">
        <v>0</v>
      </c>
      <c r="Q40" s="727">
        <v>0</v>
      </c>
      <c r="R40" s="128" t="s">
        <v>1381</v>
      </c>
    </row>
    <row r="41" spans="1:21">
      <c r="A41" s="618"/>
      <c r="B41" s="652" t="s">
        <v>109</v>
      </c>
      <c r="C41" s="653" t="s">
        <v>9</v>
      </c>
      <c r="D41" s="715">
        <f t="shared" si="8"/>
        <v>3.9</v>
      </c>
      <c r="E41" s="716">
        <f t="shared" si="29"/>
        <v>0</v>
      </c>
      <c r="F41" s="722">
        <v>0</v>
      </c>
      <c r="G41" s="723">
        <v>0</v>
      </c>
      <c r="H41" s="724">
        <v>0</v>
      </c>
      <c r="I41" s="716">
        <f t="shared" si="27"/>
        <v>0</v>
      </c>
      <c r="J41" s="722">
        <v>0</v>
      </c>
      <c r="K41" s="723">
        <v>0</v>
      </c>
      <c r="L41" s="724">
        <v>0</v>
      </c>
      <c r="M41" s="725">
        <v>0</v>
      </c>
      <c r="N41" s="720">
        <f t="shared" si="26"/>
        <v>3.9</v>
      </c>
      <c r="O41" s="723">
        <v>3.9</v>
      </c>
      <c r="P41" s="726">
        <v>0</v>
      </c>
      <c r="Q41" s="727">
        <v>0</v>
      </c>
      <c r="R41" s="128" t="s">
        <v>1383</v>
      </c>
    </row>
    <row r="42" spans="1:21">
      <c r="A42" s="618"/>
      <c r="B42" s="652" t="s">
        <v>111</v>
      </c>
      <c r="C42" s="653" t="s">
        <v>11</v>
      </c>
      <c r="D42" s="715">
        <f t="shared" si="8"/>
        <v>0</v>
      </c>
      <c r="E42" s="716">
        <f t="shared" si="29"/>
        <v>0</v>
      </c>
      <c r="F42" s="722">
        <v>0</v>
      </c>
      <c r="G42" s="723">
        <v>0</v>
      </c>
      <c r="H42" s="724">
        <v>0</v>
      </c>
      <c r="I42" s="716">
        <f t="shared" si="27"/>
        <v>0</v>
      </c>
      <c r="J42" s="722">
        <v>0</v>
      </c>
      <c r="K42" s="723">
        <v>0</v>
      </c>
      <c r="L42" s="724">
        <v>0</v>
      </c>
      <c r="M42" s="725">
        <v>0</v>
      </c>
      <c r="N42" s="720">
        <f t="shared" si="26"/>
        <v>0</v>
      </c>
      <c r="O42" s="723">
        <v>0</v>
      </c>
      <c r="P42" s="726">
        <v>0</v>
      </c>
      <c r="Q42" s="727">
        <v>0</v>
      </c>
      <c r="R42" s="128" t="s">
        <v>1385</v>
      </c>
    </row>
    <row r="43" spans="1:21">
      <c r="A43" s="618"/>
      <c r="B43" s="643" t="s">
        <v>114</v>
      </c>
      <c r="C43" s="660" t="s">
        <v>13</v>
      </c>
      <c r="D43" s="715">
        <f t="shared" si="8"/>
        <v>18449.683130000001</v>
      </c>
      <c r="E43" s="716">
        <f t="shared" si="29"/>
        <v>7564.0365100000008</v>
      </c>
      <c r="F43" s="717">
        <f>SUM(F44:F49)</f>
        <v>394.33510000000007</v>
      </c>
      <c r="G43" s="718">
        <f>SUM(G44:G49)</f>
        <v>1032.59221</v>
      </c>
      <c r="H43" s="719">
        <f>SUM(H44:H49)</f>
        <v>6137.1092000000008</v>
      </c>
      <c r="I43" s="716">
        <f t="shared" si="27"/>
        <v>9797.3887900000009</v>
      </c>
      <c r="J43" s="717">
        <f t="shared" ref="J43:Q43" si="30">SUM(J44:J49)</f>
        <v>7029.2893500000018</v>
      </c>
      <c r="K43" s="718">
        <f t="shared" si="30"/>
        <v>1978.3063599999996</v>
      </c>
      <c r="L43" s="719">
        <f t="shared" si="30"/>
        <v>789.79307999999969</v>
      </c>
      <c r="M43" s="716">
        <f t="shared" si="30"/>
        <v>1088.25783</v>
      </c>
      <c r="N43" s="720">
        <f t="shared" si="26"/>
        <v>0</v>
      </c>
      <c r="O43" s="718">
        <f>SUM(O44:O49)</f>
        <v>0</v>
      </c>
      <c r="P43" s="728">
        <f t="shared" si="30"/>
        <v>0</v>
      </c>
      <c r="Q43" s="721">
        <f t="shared" si="30"/>
        <v>0</v>
      </c>
    </row>
    <row r="44" spans="1:21">
      <c r="A44" s="618"/>
      <c r="B44" s="652" t="s">
        <v>116</v>
      </c>
      <c r="C44" s="653" t="s">
        <v>15</v>
      </c>
      <c r="D44" s="715">
        <f t="shared" si="8"/>
        <v>2434.0409399999999</v>
      </c>
      <c r="E44" s="716">
        <f t="shared" si="29"/>
        <v>932.46480000000008</v>
      </c>
      <c r="F44" s="722">
        <v>1.1444799999999999</v>
      </c>
      <c r="G44" s="723">
        <v>681.71566000000007</v>
      </c>
      <c r="H44" s="724">
        <v>249.60465999999997</v>
      </c>
      <c r="I44" s="716">
        <f t="shared" si="27"/>
        <v>1501.5761399999999</v>
      </c>
      <c r="J44" s="722">
        <v>838.77517999999998</v>
      </c>
      <c r="K44" s="723">
        <v>600.51557999999989</v>
      </c>
      <c r="L44" s="724">
        <v>62.285380000000004</v>
      </c>
      <c r="M44" s="725">
        <v>0</v>
      </c>
      <c r="N44" s="720">
        <f t="shared" si="26"/>
        <v>0</v>
      </c>
      <c r="O44" s="723">
        <v>0</v>
      </c>
      <c r="P44" s="726">
        <v>0</v>
      </c>
      <c r="Q44" s="727">
        <v>0</v>
      </c>
      <c r="R44" s="128" t="s">
        <v>1387</v>
      </c>
    </row>
    <row r="45" spans="1:21">
      <c r="A45" s="618"/>
      <c r="B45" s="652" t="s">
        <v>118</v>
      </c>
      <c r="C45" s="653" t="s">
        <v>593</v>
      </c>
      <c r="D45" s="715">
        <f t="shared" si="8"/>
        <v>202.9826799999999</v>
      </c>
      <c r="E45" s="716">
        <f t="shared" si="29"/>
        <v>22.866299999999988</v>
      </c>
      <c r="F45" s="722">
        <v>10.126209999999991</v>
      </c>
      <c r="G45" s="723">
        <v>4.0546799999999994</v>
      </c>
      <c r="H45" s="724">
        <v>8.6854099999999992</v>
      </c>
      <c r="I45" s="716">
        <f t="shared" si="27"/>
        <v>180.11637999999991</v>
      </c>
      <c r="J45" s="722">
        <v>7.7728000000000002</v>
      </c>
      <c r="K45" s="723">
        <v>158.52870999999993</v>
      </c>
      <c r="L45" s="724">
        <v>13.814869999999996</v>
      </c>
      <c r="M45" s="725">
        <v>0</v>
      </c>
      <c r="N45" s="720">
        <f t="shared" si="26"/>
        <v>0</v>
      </c>
      <c r="O45" s="723">
        <v>0</v>
      </c>
      <c r="P45" s="726">
        <v>0</v>
      </c>
      <c r="Q45" s="727">
        <v>0</v>
      </c>
      <c r="R45" s="729" t="s">
        <v>1389</v>
      </c>
      <c r="S45" s="729" t="s">
        <v>1391</v>
      </c>
      <c r="T45" s="729" t="s">
        <v>1393</v>
      </c>
      <c r="U45" s="729" t="s">
        <v>1395</v>
      </c>
    </row>
    <row r="46" spans="1:21">
      <c r="A46" s="618"/>
      <c r="B46" s="652" t="s">
        <v>119</v>
      </c>
      <c r="C46" s="653" t="s">
        <v>21</v>
      </c>
      <c r="D46" s="715">
        <f t="shared" si="8"/>
        <v>12944.158900000004</v>
      </c>
      <c r="E46" s="716">
        <f t="shared" si="29"/>
        <v>5858.1825400000007</v>
      </c>
      <c r="F46" s="722">
        <v>0</v>
      </c>
      <c r="G46" s="723">
        <v>0</v>
      </c>
      <c r="H46" s="724">
        <v>5858.1825400000007</v>
      </c>
      <c r="I46" s="716">
        <f t="shared" si="27"/>
        <v>5997.7185300000019</v>
      </c>
      <c r="J46" s="722">
        <v>5997.7185300000019</v>
      </c>
      <c r="K46" s="723">
        <v>0</v>
      </c>
      <c r="L46" s="724">
        <v>0</v>
      </c>
      <c r="M46" s="725">
        <v>1088.25783</v>
      </c>
      <c r="N46" s="720">
        <f t="shared" si="26"/>
        <v>0</v>
      </c>
      <c r="O46" s="723">
        <v>0</v>
      </c>
      <c r="P46" s="726">
        <v>0</v>
      </c>
      <c r="Q46" s="727">
        <v>0</v>
      </c>
      <c r="R46" s="729" t="s">
        <v>1397</v>
      </c>
    </row>
    <row r="47" spans="1:21">
      <c r="A47" s="618"/>
      <c r="B47" s="652" t="s">
        <v>608</v>
      </c>
      <c r="C47" s="653" t="s">
        <v>23</v>
      </c>
      <c r="D47" s="715">
        <f t="shared" si="8"/>
        <v>0</v>
      </c>
      <c r="E47" s="716">
        <f t="shared" ref="E47:E48" si="31">SUM(F47:H47)</f>
        <v>0</v>
      </c>
      <c r="F47" s="722">
        <v>0</v>
      </c>
      <c r="G47" s="723">
        <v>0</v>
      </c>
      <c r="H47" s="724">
        <v>0</v>
      </c>
      <c r="I47" s="716">
        <f t="shared" ref="I47:I48" si="32">SUM(J47:L47)</f>
        <v>0</v>
      </c>
      <c r="J47" s="722">
        <v>0</v>
      </c>
      <c r="K47" s="723">
        <v>0</v>
      </c>
      <c r="L47" s="724">
        <v>0</v>
      </c>
      <c r="M47" s="725">
        <v>0</v>
      </c>
      <c r="N47" s="720">
        <f t="shared" si="26"/>
        <v>0</v>
      </c>
      <c r="O47" s="723">
        <v>0</v>
      </c>
      <c r="P47" s="726">
        <v>0</v>
      </c>
      <c r="Q47" s="727">
        <v>0</v>
      </c>
      <c r="R47" s="729" t="s">
        <v>1399</v>
      </c>
    </row>
    <row r="48" spans="1:21">
      <c r="A48" s="618"/>
      <c r="B48" s="652" t="s">
        <v>609</v>
      </c>
      <c r="C48" s="653" t="s">
        <v>25</v>
      </c>
      <c r="D48" s="715">
        <f t="shared" si="8"/>
        <v>0</v>
      </c>
      <c r="E48" s="716">
        <f t="shared" si="31"/>
        <v>0</v>
      </c>
      <c r="F48" s="722">
        <v>0</v>
      </c>
      <c r="G48" s="723">
        <v>0</v>
      </c>
      <c r="H48" s="724">
        <v>0</v>
      </c>
      <c r="I48" s="716">
        <f t="shared" si="32"/>
        <v>0</v>
      </c>
      <c r="J48" s="722">
        <v>0</v>
      </c>
      <c r="K48" s="723">
        <v>0</v>
      </c>
      <c r="L48" s="724">
        <v>0</v>
      </c>
      <c r="M48" s="725">
        <v>0</v>
      </c>
      <c r="N48" s="720">
        <f t="shared" si="26"/>
        <v>0</v>
      </c>
      <c r="O48" s="723">
        <v>0</v>
      </c>
      <c r="P48" s="726">
        <v>0</v>
      </c>
      <c r="Q48" s="727">
        <v>0</v>
      </c>
      <c r="R48" s="729" t="s">
        <v>1401</v>
      </c>
    </row>
    <row r="49" spans="1:18" ht="39">
      <c r="A49" s="618"/>
      <c r="B49" s="652" t="s">
        <v>610</v>
      </c>
      <c r="C49" s="653" t="s">
        <v>597</v>
      </c>
      <c r="D49" s="715">
        <f t="shared" si="8"/>
        <v>2868.5006099999996</v>
      </c>
      <c r="E49" s="716">
        <f t="shared" si="29"/>
        <v>750.52287000000013</v>
      </c>
      <c r="F49" s="722">
        <v>383.06441000000007</v>
      </c>
      <c r="G49" s="723">
        <v>346.82187000000005</v>
      </c>
      <c r="H49" s="724">
        <v>20.636590000000005</v>
      </c>
      <c r="I49" s="716">
        <f t="shared" si="27"/>
        <v>2117.9777399999994</v>
      </c>
      <c r="J49" s="722">
        <v>185.02284</v>
      </c>
      <c r="K49" s="723">
        <v>1219.2620699999998</v>
      </c>
      <c r="L49" s="724">
        <v>713.69282999999973</v>
      </c>
      <c r="M49" s="725">
        <v>0</v>
      </c>
      <c r="N49" s="720">
        <f t="shared" si="26"/>
        <v>0</v>
      </c>
      <c r="O49" s="723">
        <v>0</v>
      </c>
      <c r="P49" s="726">
        <v>0</v>
      </c>
      <c r="Q49" s="727">
        <v>0</v>
      </c>
      <c r="R49" s="729" t="s">
        <v>1403</v>
      </c>
    </row>
    <row r="50" spans="1:18">
      <c r="A50" s="618"/>
      <c r="B50" s="643" t="s">
        <v>288</v>
      </c>
      <c r="C50" s="661" t="s">
        <v>29</v>
      </c>
      <c r="D50" s="715">
        <f t="shared" si="8"/>
        <v>656.20738999999992</v>
      </c>
      <c r="E50" s="716">
        <f t="shared" si="29"/>
        <v>91.469459999999955</v>
      </c>
      <c r="F50" s="717">
        <f>SUM(F51:F52)</f>
        <v>83.373869999999954</v>
      </c>
      <c r="G50" s="718">
        <f>SUM(G51:G52)</f>
        <v>2.3539299999999996</v>
      </c>
      <c r="H50" s="719">
        <f>SUM(H51:H52)</f>
        <v>5.7416600000000013</v>
      </c>
      <c r="I50" s="716">
        <f t="shared" si="27"/>
        <v>564.73793000000001</v>
      </c>
      <c r="J50" s="717">
        <f t="shared" ref="J50:Q50" si="33">SUM(J51:J52)</f>
        <v>101.60626000000001</v>
      </c>
      <c r="K50" s="718">
        <f t="shared" si="33"/>
        <v>235.12738000000002</v>
      </c>
      <c r="L50" s="719">
        <f t="shared" si="33"/>
        <v>228.00428999999997</v>
      </c>
      <c r="M50" s="716">
        <f t="shared" si="33"/>
        <v>0</v>
      </c>
      <c r="N50" s="720">
        <f t="shared" si="26"/>
        <v>0</v>
      </c>
      <c r="O50" s="718">
        <f>SUM(O51:O52)</f>
        <v>0</v>
      </c>
      <c r="P50" s="728">
        <f t="shared" si="33"/>
        <v>0</v>
      </c>
      <c r="Q50" s="721">
        <f t="shared" si="33"/>
        <v>0</v>
      </c>
    </row>
    <row r="51" spans="1:18" ht="52.5">
      <c r="A51" s="618"/>
      <c r="B51" s="652" t="s">
        <v>290</v>
      </c>
      <c r="C51" s="662" t="s">
        <v>31</v>
      </c>
      <c r="D51" s="715">
        <f t="shared" si="8"/>
        <v>581.65743999999995</v>
      </c>
      <c r="E51" s="716">
        <f t="shared" si="29"/>
        <v>90.949459999999959</v>
      </c>
      <c r="F51" s="722">
        <v>83.373869999999954</v>
      </c>
      <c r="G51" s="723">
        <v>2.3539299999999996</v>
      </c>
      <c r="H51" s="724">
        <v>5.2216600000000009</v>
      </c>
      <c r="I51" s="716">
        <f t="shared" si="27"/>
        <v>490.70797999999996</v>
      </c>
      <c r="J51" s="722">
        <v>87.746310000000008</v>
      </c>
      <c r="K51" s="723">
        <v>174.95738</v>
      </c>
      <c r="L51" s="724">
        <v>228.00428999999997</v>
      </c>
      <c r="M51" s="725">
        <v>0</v>
      </c>
      <c r="N51" s="720">
        <f t="shared" si="26"/>
        <v>0</v>
      </c>
      <c r="O51" s="723">
        <v>0</v>
      </c>
      <c r="P51" s="726">
        <v>0</v>
      </c>
      <c r="Q51" s="727">
        <v>0</v>
      </c>
      <c r="R51" s="729" t="s">
        <v>1405</v>
      </c>
    </row>
    <row r="52" spans="1:18">
      <c r="A52" s="618"/>
      <c r="B52" s="652" t="s">
        <v>291</v>
      </c>
      <c r="C52" s="662" t="s">
        <v>33</v>
      </c>
      <c r="D52" s="715">
        <f t="shared" si="8"/>
        <v>74.549949999999995</v>
      </c>
      <c r="E52" s="716">
        <f t="shared" si="29"/>
        <v>0.52</v>
      </c>
      <c r="F52" s="722">
        <v>0</v>
      </c>
      <c r="G52" s="723">
        <v>0</v>
      </c>
      <c r="H52" s="724">
        <v>0.52</v>
      </c>
      <c r="I52" s="716">
        <f t="shared" si="27"/>
        <v>74.029949999999999</v>
      </c>
      <c r="J52" s="722">
        <v>13.859950000000001</v>
      </c>
      <c r="K52" s="723">
        <v>60.17</v>
      </c>
      <c r="L52" s="724">
        <v>0</v>
      </c>
      <c r="M52" s="725">
        <v>0</v>
      </c>
      <c r="N52" s="720">
        <f t="shared" si="26"/>
        <v>0</v>
      </c>
      <c r="O52" s="723">
        <v>0</v>
      </c>
      <c r="P52" s="726">
        <v>0</v>
      </c>
      <c r="Q52" s="727">
        <v>0</v>
      </c>
      <c r="R52" s="729" t="s">
        <v>1407</v>
      </c>
    </row>
    <row r="53" spans="1:18">
      <c r="A53" s="618"/>
      <c r="B53" s="643" t="s">
        <v>293</v>
      </c>
      <c r="C53" s="661" t="s">
        <v>35</v>
      </c>
      <c r="D53" s="715">
        <f t="shared" si="8"/>
        <v>108.91628999999999</v>
      </c>
      <c r="E53" s="716">
        <f t="shared" si="29"/>
        <v>52.110259999999997</v>
      </c>
      <c r="F53" s="717">
        <f>SUM(F54:F58)</f>
        <v>17.643139999999999</v>
      </c>
      <c r="G53" s="718">
        <f>SUM(G54:G58)</f>
        <v>19.827639999999999</v>
      </c>
      <c r="H53" s="719">
        <f>SUM(H54:H58)</f>
        <v>14.639479999999999</v>
      </c>
      <c r="I53" s="716">
        <f t="shared" si="27"/>
        <v>55.652029999999996</v>
      </c>
      <c r="J53" s="717">
        <f t="shared" ref="J53:Q53" si="34">SUM(J54:J58)</f>
        <v>15.936329999999998</v>
      </c>
      <c r="K53" s="718">
        <f t="shared" si="34"/>
        <v>39.715699999999998</v>
      </c>
      <c r="L53" s="719">
        <f t="shared" si="34"/>
        <v>0</v>
      </c>
      <c r="M53" s="716">
        <f t="shared" si="34"/>
        <v>0</v>
      </c>
      <c r="N53" s="720">
        <f t="shared" si="26"/>
        <v>1.1539999999999999</v>
      </c>
      <c r="O53" s="718">
        <f>SUM(O54:O58)</f>
        <v>1.1539999999999999</v>
      </c>
      <c r="P53" s="728">
        <f t="shared" si="34"/>
        <v>0</v>
      </c>
      <c r="Q53" s="721">
        <f t="shared" si="34"/>
        <v>0</v>
      </c>
    </row>
    <row r="54" spans="1:18">
      <c r="A54" s="618"/>
      <c r="B54" s="652" t="s">
        <v>294</v>
      </c>
      <c r="C54" s="662" t="s">
        <v>37</v>
      </c>
      <c r="D54" s="730">
        <f t="shared" si="8"/>
        <v>0</v>
      </c>
      <c r="E54" s="731">
        <f t="shared" si="29"/>
        <v>0</v>
      </c>
      <c r="F54" s="732">
        <v>0</v>
      </c>
      <c r="G54" s="733">
        <v>0</v>
      </c>
      <c r="H54" s="734">
        <v>0</v>
      </c>
      <c r="I54" s="731">
        <f t="shared" si="27"/>
        <v>0</v>
      </c>
      <c r="J54" s="732">
        <v>0</v>
      </c>
      <c r="K54" s="733">
        <v>0</v>
      </c>
      <c r="L54" s="734">
        <v>0</v>
      </c>
      <c r="M54" s="735">
        <v>0</v>
      </c>
      <c r="N54" s="736">
        <f t="shared" si="26"/>
        <v>0</v>
      </c>
      <c r="O54" s="733">
        <v>0</v>
      </c>
      <c r="P54" s="737">
        <v>0</v>
      </c>
      <c r="Q54" s="727">
        <v>0</v>
      </c>
      <c r="R54" s="729" t="s">
        <v>1409</v>
      </c>
    </row>
    <row r="55" spans="1:18">
      <c r="A55" s="618"/>
      <c r="B55" s="652" t="s">
        <v>296</v>
      </c>
      <c r="C55" s="670" t="s">
        <v>40</v>
      </c>
      <c r="D55" s="730">
        <f t="shared" si="8"/>
        <v>0</v>
      </c>
      <c r="E55" s="731">
        <f t="shared" si="29"/>
        <v>0</v>
      </c>
      <c r="F55" s="732">
        <v>0</v>
      </c>
      <c r="G55" s="733">
        <v>0</v>
      </c>
      <c r="H55" s="734">
        <v>0</v>
      </c>
      <c r="I55" s="731">
        <f t="shared" si="27"/>
        <v>0</v>
      </c>
      <c r="J55" s="732">
        <v>0</v>
      </c>
      <c r="K55" s="733">
        <v>0</v>
      </c>
      <c r="L55" s="734">
        <v>0</v>
      </c>
      <c r="M55" s="735">
        <v>0</v>
      </c>
      <c r="N55" s="736">
        <f t="shared" si="26"/>
        <v>0</v>
      </c>
      <c r="O55" s="733">
        <v>0</v>
      </c>
      <c r="P55" s="737">
        <v>0</v>
      </c>
      <c r="Q55" s="727">
        <v>0</v>
      </c>
      <c r="R55" s="729" t="s">
        <v>1411</v>
      </c>
    </row>
    <row r="56" spans="1:18">
      <c r="A56" s="618"/>
      <c r="B56" s="652" t="s">
        <v>611</v>
      </c>
      <c r="C56" s="670" t="s">
        <v>43</v>
      </c>
      <c r="D56" s="730">
        <f t="shared" si="8"/>
        <v>0</v>
      </c>
      <c r="E56" s="731">
        <f t="shared" si="29"/>
        <v>0</v>
      </c>
      <c r="F56" s="732">
        <v>0</v>
      </c>
      <c r="G56" s="733">
        <v>0</v>
      </c>
      <c r="H56" s="734">
        <v>0</v>
      </c>
      <c r="I56" s="731">
        <f t="shared" si="27"/>
        <v>0</v>
      </c>
      <c r="J56" s="732">
        <v>0</v>
      </c>
      <c r="K56" s="733">
        <v>0</v>
      </c>
      <c r="L56" s="734">
        <v>0</v>
      </c>
      <c r="M56" s="735">
        <v>0</v>
      </c>
      <c r="N56" s="736">
        <f t="shared" si="26"/>
        <v>0</v>
      </c>
      <c r="O56" s="733">
        <v>0</v>
      </c>
      <c r="P56" s="737">
        <v>0</v>
      </c>
      <c r="Q56" s="727">
        <v>0</v>
      </c>
      <c r="R56" s="729" t="s">
        <v>1413</v>
      </c>
    </row>
    <row r="57" spans="1:18" ht="26.5">
      <c r="A57" s="618"/>
      <c r="B57" s="652" t="s">
        <v>612</v>
      </c>
      <c r="C57" s="670" t="s">
        <v>45</v>
      </c>
      <c r="D57" s="730">
        <f t="shared" si="8"/>
        <v>0.21480000000000002</v>
      </c>
      <c r="E57" s="731">
        <f t="shared" si="29"/>
        <v>0.21480000000000002</v>
      </c>
      <c r="F57" s="732">
        <v>0.21480000000000002</v>
      </c>
      <c r="G57" s="733">
        <v>0</v>
      </c>
      <c r="H57" s="734">
        <v>0</v>
      </c>
      <c r="I57" s="731">
        <f t="shared" si="27"/>
        <v>0</v>
      </c>
      <c r="J57" s="732">
        <v>0</v>
      </c>
      <c r="K57" s="733">
        <v>0</v>
      </c>
      <c r="L57" s="734">
        <v>0</v>
      </c>
      <c r="M57" s="735">
        <v>0</v>
      </c>
      <c r="N57" s="736">
        <f t="shared" si="26"/>
        <v>0</v>
      </c>
      <c r="O57" s="733">
        <v>0</v>
      </c>
      <c r="P57" s="737">
        <v>0</v>
      </c>
      <c r="Q57" s="727">
        <v>0</v>
      </c>
      <c r="R57" s="729" t="s">
        <v>1415</v>
      </c>
    </row>
    <row r="58" spans="1:18" ht="26.5">
      <c r="A58" s="618"/>
      <c r="B58" s="652" t="s">
        <v>613</v>
      </c>
      <c r="C58" s="670" t="s">
        <v>603</v>
      </c>
      <c r="D58" s="730">
        <f t="shared" si="8"/>
        <v>108.70148999999999</v>
      </c>
      <c r="E58" s="731">
        <f t="shared" si="29"/>
        <v>51.895459999999993</v>
      </c>
      <c r="F58" s="732">
        <v>17.428339999999999</v>
      </c>
      <c r="G58" s="733">
        <v>19.827639999999999</v>
      </c>
      <c r="H58" s="734">
        <v>14.639479999999999</v>
      </c>
      <c r="I58" s="731">
        <f t="shared" si="27"/>
        <v>55.652029999999996</v>
      </c>
      <c r="J58" s="732">
        <v>15.936329999999998</v>
      </c>
      <c r="K58" s="733">
        <v>39.715699999999998</v>
      </c>
      <c r="L58" s="734">
        <v>0</v>
      </c>
      <c r="M58" s="735">
        <v>0</v>
      </c>
      <c r="N58" s="736">
        <f t="shared" si="26"/>
        <v>1.1539999999999999</v>
      </c>
      <c r="O58" s="733">
        <v>1.1539999999999999</v>
      </c>
      <c r="P58" s="737">
        <v>0</v>
      </c>
      <c r="Q58" s="727">
        <v>0</v>
      </c>
      <c r="R58" s="729" t="s">
        <v>1417</v>
      </c>
    </row>
    <row r="59" spans="1:18">
      <c r="A59" s="618"/>
      <c r="B59" s="643" t="s">
        <v>298</v>
      </c>
      <c r="C59" s="672" t="s">
        <v>51</v>
      </c>
      <c r="D59" s="730">
        <f t="shared" si="8"/>
        <v>126.87839</v>
      </c>
      <c r="E59" s="731">
        <f t="shared" si="29"/>
        <v>40.103389999999997</v>
      </c>
      <c r="F59" s="738">
        <f>SUM(F60:F61)</f>
        <v>0</v>
      </c>
      <c r="G59" s="739">
        <f>SUM(G60:G61)</f>
        <v>0</v>
      </c>
      <c r="H59" s="740">
        <f>SUM(H60:H61)</f>
        <v>40.103389999999997</v>
      </c>
      <c r="I59" s="731">
        <f t="shared" si="27"/>
        <v>30.9</v>
      </c>
      <c r="J59" s="738">
        <f t="shared" ref="J59:Q59" si="35">SUM(J60:J61)</f>
        <v>7.5</v>
      </c>
      <c r="K59" s="739">
        <f t="shared" si="35"/>
        <v>3.9</v>
      </c>
      <c r="L59" s="740">
        <f t="shared" si="35"/>
        <v>19.5</v>
      </c>
      <c r="M59" s="731">
        <f t="shared" si="35"/>
        <v>52.424999999999997</v>
      </c>
      <c r="N59" s="736">
        <f t="shared" si="26"/>
        <v>3.45</v>
      </c>
      <c r="O59" s="739">
        <f>SUM(O60:O61)</f>
        <v>3.45</v>
      </c>
      <c r="P59" s="741">
        <f t="shared" si="35"/>
        <v>0</v>
      </c>
      <c r="Q59" s="742">
        <f t="shared" si="35"/>
        <v>0</v>
      </c>
    </row>
    <row r="60" spans="1:18">
      <c r="A60" s="618"/>
      <c r="B60" s="681" t="s">
        <v>300</v>
      </c>
      <c r="C60" s="682" t="s">
        <v>53</v>
      </c>
      <c r="D60" s="730">
        <f t="shared" si="8"/>
        <v>7.35</v>
      </c>
      <c r="E60" s="731">
        <f>SUM(F60:H60)</f>
        <v>0</v>
      </c>
      <c r="F60" s="732">
        <v>0</v>
      </c>
      <c r="G60" s="733">
        <v>0</v>
      </c>
      <c r="H60" s="734">
        <v>0</v>
      </c>
      <c r="I60" s="731">
        <f t="shared" ref="I60:I61" si="36">SUM(J60:L60)</f>
        <v>3.9</v>
      </c>
      <c r="J60" s="732">
        <v>0</v>
      </c>
      <c r="K60" s="733">
        <v>3.9</v>
      </c>
      <c r="L60" s="734">
        <v>0</v>
      </c>
      <c r="M60" s="735">
        <v>0</v>
      </c>
      <c r="N60" s="736">
        <f t="shared" si="26"/>
        <v>3.45</v>
      </c>
      <c r="O60" s="733">
        <v>3.45</v>
      </c>
      <c r="P60" s="737">
        <v>0</v>
      </c>
      <c r="Q60" s="727">
        <v>0</v>
      </c>
      <c r="R60" s="128" t="s">
        <v>1435</v>
      </c>
    </row>
    <row r="61" spans="1:18" ht="26.5">
      <c r="A61" s="618"/>
      <c r="B61" s="681" t="s">
        <v>302</v>
      </c>
      <c r="C61" s="691" t="s">
        <v>55</v>
      </c>
      <c r="D61" s="730">
        <f t="shared" si="8"/>
        <v>119.52838999999999</v>
      </c>
      <c r="E61" s="731">
        <f>SUM(F61:H61)</f>
        <v>40.103389999999997</v>
      </c>
      <c r="F61" s="732">
        <v>0</v>
      </c>
      <c r="G61" s="733">
        <v>0</v>
      </c>
      <c r="H61" s="734">
        <v>40.103389999999997</v>
      </c>
      <c r="I61" s="731">
        <f t="shared" si="36"/>
        <v>27</v>
      </c>
      <c r="J61" s="732">
        <v>7.5</v>
      </c>
      <c r="K61" s="733">
        <v>0</v>
      </c>
      <c r="L61" s="734">
        <v>19.5</v>
      </c>
      <c r="M61" s="735">
        <v>52.424999999999997</v>
      </c>
      <c r="N61" s="736">
        <f t="shared" si="26"/>
        <v>0</v>
      </c>
      <c r="O61" s="733">
        <v>0</v>
      </c>
      <c r="P61" s="737">
        <v>0</v>
      </c>
      <c r="Q61" s="727">
        <v>0</v>
      </c>
      <c r="R61" s="128" t="s">
        <v>1436</v>
      </c>
    </row>
    <row r="62" spans="1:18">
      <c r="A62" s="618"/>
      <c r="B62" s="694" t="s">
        <v>304</v>
      </c>
      <c r="C62" s="695" t="s">
        <v>604</v>
      </c>
      <c r="D62" s="730">
        <f t="shared" si="8"/>
        <v>5.8169699999999995</v>
      </c>
      <c r="E62" s="731">
        <f t="shared" si="29"/>
        <v>1.3140000000000001</v>
      </c>
      <c r="F62" s="738">
        <f>SUM(F63:F65)</f>
        <v>0</v>
      </c>
      <c r="G62" s="739">
        <f>SUM(G63:G65)</f>
        <v>0.65700000000000003</v>
      </c>
      <c r="H62" s="740">
        <f>SUM(H63:H65)</f>
        <v>0.65700000000000003</v>
      </c>
      <c r="I62" s="731">
        <f t="shared" si="27"/>
        <v>3.8739699999999999</v>
      </c>
      <c r="J62" s="738">
        <f t="shared" ref="J62:Q62" si="37">SUM(J63:J65)</f>
        <v>0</v>
      </c>
      <c r="K62" s="739">
        <f t="shared" si="37"/>
        <v>2.45397</v>
      </c>
      <c r="L62" s="740">
        <f t="shared" si="37"/>
        <v>1.42</v>
      </c>
      <c r="M62" s="731">
        <f t="shared" si="37"/>
        <v>0</v>
      </c>
      <c r="N62" s="736">
        <f t="shared" si="26"/>
        <v>0.629</v>
      </c>
      <c r="O62" s="739">
        <f>SUM(O63:O65)</f>
        <v>0.629</v>
      </c>
      <c r="P62" s="741">
        <f t="shared" si="37"/>
        <v>0</v>
      </c>
      <c r="Q62" s="742">
        <f t="shared" si="37"/>
        <v>0</v>
      </c>
    </row>
    <row r="63" spans="1:18">
      <c r="A63" s="618"/>
      <c r="B63" s="696" t="s">
        <v>306</v>
      </c>
      <c r="C63" s="697" t="s">
        <v>1433</v>
      </c>
      <c r="D63" s="730">
        <f t="shared" si="8"/>
        <v>1.4039999999999999</v>
      </c>
      <c r="E63" s="731">
        <f>SUM(F63:H63)</f>
        <v>0</v>
      </c>
      <c r="F63" s="732">
        <v>0</v>
      </c>
      <c r="G63" s="733">
        <v>0</v>
      </c>
      <c r="H63" s="734">
        <v>0</v>
      </c>
      <c r="I63" s="731">
        <f t="shared" si="27"/>
        <v>1.4039999999999999</v>
      </c>
      <c r="J63" s="732">
        <v>0</v>
      </c>
      <c r="K63" s="733">
        <v>1.4039999999999999</v>
      </c>
      <c r="L63" s="734">
        <v>0</v>
      </c>
      <c r="M63" s="735">
        <v>0</v>
      </c>
      <c r="N63" s="736">
        <f t="shared" si="26"/>
        <v>0</v>
      </c>
      <c r="O63" s="733">
        <v>0</v>
      </c>
      <c r="P63" s="737">
        <v>0</v>
      </c>
      <c r="Q63" s="727">
        <v>0</v>
      </c>
      <c r="R63" s="128" t="s">
        <v>1437</v>
      </c>
    </row>
    <row r="64" spans="1:18">
      <c r="A64" s="618"/>
      <c r="B64" s="696" t="s">
        <v>614</v>
      </c>
      <c r="C64" s="697" t="s">
        <v>47</v>
      </c>
      <c r="D64" s="730">
        <f t="shared" si="8"/>
        <v>4.4129699999999996</v>
      </c>
      <c r="E64" s="731">
        <f t="shared" si="29"/>
        <v>1.3140000000000001</v>
      </c>
      <c r="F64" s="732">
        <v>0</v>
      </c>
      <c r="G64" s="733">
        <v>0.65700000000000003</v>
      </c>
      <c r="H64" s="734">
        <v>0.65700000000000003</v>
      </c>
      <c r="I64" s="731">
        <f t="shared" si="27"/>
        <v>2.46997</v>
      </c>
      <c r="J64" s="732">
        <v>0</v>
      </c>
      <c r="K64" s="733">
        <v>1.0499700000000001</v>
      </c>
      <c r="L64" s="734">
        <v>1.42</v>
      </c>
      <c r="M64" s="735">
        <v>0</v>
      </c>
      <c r="N64" s="736">
        <f t="shared" si="26"/>
        <v>0.629</v>
      </c>
      <c r="O64" s="733">
        <v>0.629</v>
      </c>
      <c r="P64" s="737">
        <v>0</v>
      </c>
      <c r="Q64" s="727">
        <v>0</v>
      </c>
      <c r="R64" s="128" t="s">
        <v>1419</v>
      </c>
    </row>
    <row r="65" spans="1:21" ht="15" thickBot="1">
      <c r="A65" s="618"/>
      <c r="B65" s="698" t="s">
        <v>615</v>
      </c>
      <c r="C65" s="699" t="s">
        <v>1434</v>
      </c>
      <c r="D65" s="743">
        <f t="shared" si="8"/>
        <v>0</v>
      </c>
      <c r="E65" s="744">
        <f t="shared" si="29"/>
        <v>0</v>
      </c>
      <c r="F65" s="745">
        <v>0</v>
      </c>
      <c r="G65" s="746">
        <v>0</v>
      </c>
      <c r="H65" s="747">
        <v>0</v>
      </c>
      <c r="I65" s="744">
        <f t="shared" si="27"/>
        <v>0</v>
      </c>
      <c r="J65" s="745">
        <v>0</v>
      </c>
      <c r="K65" s="746">
        <v>0</v>
      </c>
      <c r="L65" s="747">
        <v>0</v>
      </c>
      <c r="M65" s="748">
        <v>0</v>
      </c>
      <c r="N65" s="749">
        <f t="shared" si="26"/>
        <v>0</v>
      </c>
      <c r="O65" s="746">
        <v>0</v>
      </c>
      <c r="P65" s="750">
        <v>0</v>
      </c>
      <c r="Q65" s="751">
        <v>0</v>
      </c>
      <c r="R65" s="128" t="s">
        <v>1421</v>
      </c>
    </row>
    <row r="66" spans="1:21" ht="15.5" thickTop="1" thickBot="1">
      <c r="A66" s="618" t="s">
        <v>616</v>
      </c>
      <c r="B66" s="752" t="s">
        <v>123</v>
      </c>
      <c r="C66" s="753" t="s">
        <v>617</v>
      </c>
      <c r="D66" s="708">
        <f t="shared" ref="D66:M66" si="38">D67+D71+D78+D81+D87+D90</f>
        <v>41.633860000000006</v>
      </c>
      <c r="E66" s="709">
        <f t="shared" si="38"/>
        <v>11.02665733713239</v>
      </c>
      <c r="F66" s="710">
        <f t="shared" si="38"/>
        <v>0.68930703611019217</v>
      </c>
      <c r="G66" s="711">
        <f t="shared" si="38"/>
        <v>1.2827063943288768</v>
      </c>
      <c r="H66" s="712">
        <f t="shared" si="38"/>
        <v>9.0546439066933218</v>
      </c>
      <c r="I66" s="709">
        <f t="shared" si="38"/>
        <v>26.421301537170841</v>
      </c>
      <c r="J66" s="710">
        <f t="shared" si="38"/>
        <v>13.225211966203108</v>
      </c>
      <c r="K66" s="711">
        <f t="shared" si="38"/>
        <v>8.6493050315328315</v>
      </c>
      <c r="L66" s="712">
        <f t="shared" si="38"/>
        <v>4.5467845394349045</v>
      </c>
      <c r="M66" s="709">
        <f t="shared" si="38"/>
        <v>4.0056162502264927</v>
      </c>
      <c r="N66" s="713">
        <f t="shared" si="26"/>
        <v>1.1645468464268357E-2</v>
      </c>
      <c r="O66" s="711">
        <f>O67+O71+O78+O81+O87+O90</f>
        <v>1.1645468464268357E-2</v>
      </c>
      <c r="P66" s="754">
        <f>P67+P71+P78+P81+P87+P90</f>
        <v>0</v>
      </c>
      <c r="Q66" s="714">
        <f>Q67+Q71+Q78+Q81+Q87+Q90</f>
        <v>0.16863940700600358</v>
      </c>
    </row>
    <row r="67" spans="1:21" ht="15" thickTop="1">
      <c r="A67" s="618" t="s">
        <v>616</v>
      </c>
      <c r="B67" s="755" t="s">
        <v>125</v>
      </c>
      <c r="C67" s="756" t="s">
        <v>6</v>
      </c>
      <c r="D67" s="715">
        <f>SUM(D68:D70)</f>
        <v>0</v>
      </c>
      <c r="E67" s="716">
        <f>SUM(F67:H67)</f>
        <v>0</v>
      </c>
      <c r="F67" s="717">
        <f>SUM(F68:F70)</f>
        <v>0</v>
      </c>
      <c r="G67" s="718">
        <f>SUM(G68:G70)</f>
        <v>0</v>
      </c>
      <c r="H67" s="719">
        <f>SUM(H68:H70)</f>
        <v>0</v>
      </c>
      <c r="I67" s="716">
        <f t="shared" ref="I67:I87" si="39">SUM(J67:L67)</f>
        <v>0</v>
      </c>
      <c r="J67" s="717">
        <f t="shared" ref="J67:Q67" si="40">SUM(J68:J70)</f>
        <v>0</v>
      </c>
      <c r="K67" s="718">
        <f t="shared" si="40"/>
        <v>0</v>
      </c>
      <c r="L67" s="719">
        <f t="shared" si="40"/>
        <v>0</v>
      </c>
      <c r="M67" s="716">
        <f t="shared" si="40"/>
        <v>0</v>
      </c>
      <c r="N67" s="720">
        <f t="shared" si="26"/>
        <v>0</v>
      </c>
      <c r="O67" s="718">
        <f>SUM(O68:O70)</f>
        <v>0</v>
      </c>
      <c r="P67" s="728">
        <f t="shared" si="40"/>
        <v>0</v>
      </c>
      <c r="Q67" s="721">
        <f t="shared" si="40"/>
        <v>0</v>
      </c>
    </row>
    <row r="68" spans="1:21">
      <c r="A68" s="618" t="s">
        <v>616</v>
      </c>
      <c r="B68" s="757" t="s">
        <v>400</v>
      </c>
      <c r="C68" s="758" t="s">
        <v>8</v>
      </c>
      <c r="D68" s="759">
        <v>0</v>
      </c>
      <c r="E68" s="760">
        <f>SUM(F68:H68)</f>
        <v>0</v>
      </c>
      <c r="F68" s="761">
        <f t="shared" ref="F68:H70" si="41">IFERROR($D68*F95/100, 0)</f>
        <v>0</v>
      </c>
      <c r="G68" s="762">
        <f t="shared" si="41"/>
        <v>0</v>
      </c>
      <c r="H68" s="763">
        <f t="shared" si="41"/>
        <v>0</v>
      </c>
      <c r="I68" s="760">
        <f t="shared" si="39"/>
        <v>0</v>
      </c>
      <c r="J68" s="761">
        <f t="shared" ref="J68:M70" si="42">IFERROR($D68*J95/100, 0)</f>
        <v>0</v>
      </c>
      <c r="K68" s="762">
        <f t="shared" si="42"/>
        <v>0</v>
      </c>
      <c r="L68" s="763">
        <f t="shared" si="42"/>
        <v>0</v>
      </c>
      <c r="M68" s="760">
        <f t="shared" si="42"/>
        <v>0</v>
      </c>
      <c r="N68" s="764">
        <f t="shared" si="26"/>
        <v>0</v>
      </c>
      <c r="O68" s="762">
        <f t="shared" ref="O68:Q70" si="43">IFERROR($D68*O95/100, 0)</f>
        <v>0</v>
      </c>
      <c r="P68" s="765">
        <f t="shared" si="43"/>
        <v>0</v>
      </c>
      <c r="Q68" s="766">
        <f t="shared" si="43"/>
        <v>0</v>
      </c>
      <c r="R68" s="128" t="s">
        <v>1381</v>
      </c>
    </row>
    <row r="69" spans="1:21">
      <c r="A69" s="618" t="s">
        <v>616</v>
      </c>
      <c r="B69" s="757" t="s">
        <v>401</v>
      </c>
      <c r="C69" s="758" t="s">
        <v>9</v>
      </c>
      <c r="D69" s="759">
        <v>0</v>
      </c>
      <c r="E69" s="760">
        <f t="shared" ref="E69:E70" si="44">SUM(F69:H69)</f>
        <v>0</v>
      </c>
      <c r="F69" s="761">
        <f t="shared" si="41"/>
        <v>0</v>
      </c>
      <c r="G69" s="762">
        <f t="shared" si="41"/>
        <v>0</v>
      </c>
      <c r="H69" s="763">
        <f t="shared" si="41"/>
        <v>0</v>
      </c>
      <c r="I69" s="760">
        <f t="shared" si="39"/>
        <v>0</v>
      </c>
      <c r="J69" s="761">
        <f t="shared" si="42"/>
        <v>0</v>
      </c>
      <c r="K69" s="762">
        <f t="shared" si="42"/>
        <v>0</v>
      </c>
      <c r="L69" s="763">
        <f t="shared" si="42"/>
        <v>0</v>
      </c>
      <c r="M69" s="760">
        <f t="shared" si="42"/>
        <v>0</v>
      </c>
      <c r="N69" s="764">
        <f t="shared" si="26"/>
        <v>0</v>
      </c>
      <c r="O69" s="762">
        <f t="shared" si="43"/>
        <v>0</v>
      </c>
      <c r="P69" s="765">
        <f t="shared" si="43"/>
        <v>0</v>
      </c>
      <c r="Q69" s="766">
        <f t="shared" si="43"/>
        <v>0</v>
      </c>
      <c r="R69" s="128" t="s">
        <v>1383</v>
      </c>
    </row>
    <row r="70" spans="1:21">
      <c r="A70" s="618" t="s">
        <v>616</v>
      </c>
      <c r="B70" s="757" t="s">
        <v>618</v>
      </c>
      <c r="C70" s="758" t="s">
        <v>11</v>
      </c>
      <c r="D70" s="759">
        <v>0</v>
      </c>
      <c r="E70" s="760">
        <f t="shared" si="44"/>
        <v>0</v>
      </c>
      <c r="F70" s="761">
        <f t="shared" si="41"/>
        <v>0</v>
      </c>
      <c r="G70" s="762">
        <f t="shared" si="41"/>
        <v>0</v>
      </c>
      <c r="H70" s="763">
        <f t="shared" si="41"/>
        <v>0</v>
      </c>
      <c r="I70" s="760">
        <f t="shared" si="39"/>
        <v>0</v>
      </c>
      <c r="J70" s="761">
        <f t="shared" si="42"/>
        <v>0</v>
      </c>
      <c r="K70" s="762">
        <f t="shared" si="42"/>
        <v>0</v>
      </c>
      <c r="L70" s="763">
        <f t="shared" si="42"/>
        <v>0</v>
      </c>
      <c r="M70" s="760">
        <f t="shared" si="42"/>
        <v>0</v>
      </c>
      <c r="N70" s="764">
        <f t="shared" si="26"/>
        <v>0</v>
      </c>
      <c r="O70" s="762">
        <f t="shared" si="43"/>
        <v>0</v>
      </c>
      <c r="P70" s="765">
        <f t="shared" si="43"/>
        <v>0</v>
      </c>
      <c r="Q70" s="766">
        <f t="shared" si="43"/>
        <v>0</v>
      </c>
      <c r="R70" s="128" t="s">
        <v>1385</v>
      </c>
    </row>
    <row r="71" spans="1:21">
      <c r="A71" s="618" t="s">
        <v>616</v>
      </c>
      <c r="B71" s="755" t="s">
        <v>127</v>
      </c>
      <c r="C71" s="767" t="s">
        <v>13</v>
      </c>
      <c r="D71" s="715">
        <f>SUM(D72:D77)</f>
        <v>7.4328700000000003</v>
      </c>
      <c r="E71" s="716">
        <f t="shared" ref="E71:E87" si="45">SUM(F71:H71)</f>
        <v>1.9685830360540968</v>
      </c>
      <c r="F71" s="717">
        <f>SUM(F72:F77)</f>
        <v>0.12306160393228886</v>
      </c>
      <c r="G71" s="718">
        <f>SUM(G72:G77)</f>
        <v>0.22900086317279442</v>
      </c>
      <c r="H71" s="719">
        <f>SUM(H72:H77)</f>
        <v>1.6165205689490136</v>
      </c>
      <c r="I71" s="716">
        <f t="shared" si="39"/>
        <v>4.7169803510073542</v>
      </c>
      <c r="J71" s="717">
        <f t="shared" ref="J71:Q71" si="46">SUM(J72:J77)</f>
        <v>2.3610897780612246</v>
      </c>
      <c r="K71" s="718">
        <f t="shared" si="46"/>
        <v>1.5441556437411628</v>
      </c>
      <c r="L71" s="719">
        <f t="shared" si="46"/>
        <v>0.81173492920496715</v>
      </c>
      <c r="M71" s="716">
        <f t="shared" si="46"/>
        <v>0.71512045382822986</v>
      </c>
      <c r="N71" s="720">
        <f t="shared" si="26"/>
        <v>2.0790590443453077E-3</v>
      </c>
      <c r="O71" s="718">
        <f>SUM(O72:O77)</f>
        <v>2.0790590443453077E-3</v>
      </c>
      <c r="P71" s="728">
        <f t="shared" si="46"/>
        <v>0</v>
      </c>
      <c r="Q71" s="721">
        <f t="shared" si="46"/>
        <v>3.0107100065973079E-2</v>
      </c>
    </row>
    <row r="72" spans="1:21">
      <c r="A72" s="618" t="s">
        <v>616</v>
      </c>
      <c r="B72" s="757" t="s">
        <v>129</v>
      </c>
      <c r="C72" s="758" t="s">
        <v>15</v>
      </c>
      <c r="D72" s="759">
        <v>7.4328700000000003</v>
      </c>
      <c r="E72" s="760">
        <f t="shared" si="45"/>
        <v>1.9685830360540968</v>
      </c>
      <c r="F72" s="761">
        <f>IFERROR($D72*F99/100, 0)</f>
        <v>0.12306160393228886</v>
      </c>
      <c r="G72" s="762">
        <f>IFERROR($D72*G99/100, 0)</f>
        <v>0.22900086317279442</v>
      </c>
      <c r="H72" s="763">
        <f>IFERROR($D72*H99/100, 0)</f>
        <v>1.6165205689490136</v>
      </c>
      <c r="I72" s="760">
        <f t="shared" ref="I72:I77" si="47">SUM(J72:L72)</f>
        <v>4.7169803510073542</v>
      </c>
      <c r="J72" s="761">
        <f>IFERROR($D72*J99/100, 0)</f>
        <v>2.3610897780612246</v>
      </c>
      <c r="K72" s="762">
        <f>IFERROR($D72*K99/100, 0)</f>
        <v>1.5441556437411628</v>
      </c>
      <c r="L72" s="763">
        <f>IFERROR($D72*L99/100, 0)</f>
        <v>0.81173492920496715</v>
      </c>
      <c r="M72" s="760">
        <f>IFERROR($D72*M99/100, 0)</f>
        <v>0.71512045382822986</v>
      </c>
      <c r="N72" s="764">
        <f t="shared" si="26"/>
        <v>2.0790590443453077E-3</v>
      </c>
      <c r="O72" s="762">
        <f>IFERROR($D72*O99/100, 0)</f>
        <v>2.0790590443453077E-3</v>
      </c>
      <c r="P72" s="765">
        <f>IFERROR($D72*P99/100, 0)</f>
        <v>0</v>
      </c>
      <c r="Q72" s="766">
        <f>IFERROR($D72*Q99/100, 0)</f>
        <v>3.0107100065973079E-2</v>
      </c>
      <c r="R72" s="128" t="s">
        <v>1387</v>
      </c>
    </row>
    <row r="73" spans="1:21">
      <c r="A73" s="618" t="s">
        <v>616</v>
      </c>
      <c r="B73" s="757" t="s">
        <v>131</v>
      </c>
      <c r="C73" s="758" t="s">
        <v>593</v>
      </c>
      <c r="D73" s="759">
        <v>0</v>
      </c>
      <c r="E73" s="760">
        <f t="shared" si="45"/>
        <v>0</v>
      </c>
      <c r="F73" s="761">
        <f t="shared" ref="F73:H77" si="48">IFERROR($D73*F100/100, 0)</f>
        <v>0</v>
      </c>
      <c r="G73" s="762">
        <f t="shared" si="48"/>
        <v>0</v>
      </c>
      <c r="H73" s="763">
        <f t="shared" si="48"/>
        <v>0</v>
      </c>
      <c r="I73" s="760">
        <f t="shared" si="47"/>
        <v>0</v>
      </c>
      <c r="J73" s="761">
        <f t="shared" ref="J73:M77" si="49">IFERROR($D73*J100/100, 0)</f>
        <v>0</v>
      </c>
      <c r="K73" s="762">
        <f t="shared" si="49"/>
        <v>0</v>
      </c>
      <c r="L73" s="763">
        <f t="shared" si="49"/>
        <v>0</v>
      </c>
      <c r="M73" s="760">
        <f t="shared" si="49"/>
        <v>0</v>
      </c>
      <c r="N73" s="764">
        <f t="shared" si="26"/>
        <v>0</v>
      </c>
      <c r="O73" s="762">
        <f t="shared" ref="O73:Q77" si="50">IFERROR($D73*O100/100, 0)</f>
        <v>0</v>
      </c>
      <c r="P73" s="765">
        <f t="shared" si="50"/>
        <v>0</v>
      </c>
      <c r="Q73" s="766">
        <f t="shared" si="50"/>
        <v>0</v>
      </c>
      <c r="R73" s="729" t="s">
        <v>1389</v>
      </c>
      <c r="S73" s="729" t="s">
        <v>1391</v>
      </c>
      <c r="T73" s="729" t="s">
        <v>1393</v>
      </c>
      <c r="U73" s="729" t="s">
        <v>1395</v>
      </c>
    </row>
    <row r="74" spans="1:21">
      <c r="A74" s="618" t="s">
        <v>616</v>
      </c>
      <c r="B74" s="757" t="s">
        <v>133</v>
      </c>
      <c r="C74" s="758" t="s">
        <v>21</v>
      </c>
      <c r="D74" s="759">
        <v>0</v>
      </c>
      <c r="E74" s="760">
        <f t="shared" si="45"/>
        <v>0</v>
      </c>
      <c r="F74" s="761">
        <f t="shared" si="48"/>
        <v>0</v>
      </c>
      <c r="G74" s="762">
        <f t="shared" si="48"/>
        <v>0</v>
      </c>
      <c r="H74" s="763">
        <f t="shared" si="48"/>
        <v>0</v>
      </c>
      <c r="I74" s="760">
        <f t="shared" si="47"/>
        <v>0</v>
      </c>
      <c r="J74" s="761">
        <f t="shared" si="49"/>
        <v>0</v>
      </c>
      <c r="K74" s="762">
        <f t="shared" si="49"/>
        <v>0</v>
      </c>
      <c r="L74" s="763">
        <f t="shared" si="49"/>
        <v>0</v>
      </c>
      <c r="M74" s="760">
        <f t="shared" si="49"/>
        <v>0</v>
      </c>
      <c r="N74" s="764">
        <f t="shared" si="26"/>
        <v>0</v>
      </c>
      <c r="O74" s="762">
        <f t="shared" si="50"/>
        <v>0</v>
      </c>
      <c r="P74" s="765">
        <f t="shared" si="50"/>
        <v>0</v>
      </c>
      <c r="Q74" s="766">
        <f t="shared" si="50"/>
        <v>0</v>
      </c>
      <c r="R74" s="729" t="s">
        <v>1397</v>
      </c>
    </row>
    <row r="75" spans="1:21">
      <c r="A75" s="618" t="s">
        <v>616</v>
      </c>
      <c r="B75" s="757" t="s">
        <v>619</v>
      </c>
      <c r="C75" s="758" t="s">
        <v>23</v>
      </c>
      <c r="D75" s="759">
        <v>0</v>
      </c>
      <c r="E75" s="760">
        <f t="shared" si="45"/>
        <v>0</v>
      </c>
      <c r="F75" s="761">
        <f t="shared" si="48"/>
        <v>0</v>
      </c>
      <c r="G75" s="762">
        <f t="shared" si="48"/>
        <v>0</v>
      </c>
      <c r="H75" s="763">
        <f t="shared" si="48"/>
        <v>0</v>
      </c>
      <c r="I75" s="760">
        <f t="shared" si="47"/>
        <v>0</v>
      </c>
      <c r="J75" s="761">
        <f t="shared" si="49"/>
        <v>0</v>
      </c>
      <c r="K75" s="762">
        <f t="shared" si="49"/>
        <v>0</v>
      </c>
      <c r="L75" s="763">
        <f t="shared" si="49"/>
        <v>0</v>
      </c>
      <c r="M75" s="760">
        <f t="shared" si="49"/>
        <v>0</v>
      </c>
      <c r="N75" s="764">
        <f t="shared" si="26"/>
        <v>0</v>
      </c>
      <c r="O75" s="762">
        <f t="shared" si="50"/>
        <v>0</v>
      </c>
      <c r="P75" s="765">
        <f t="shared" si="50"/>
        <v>0</v>
      </c>
      <c r="Q75" s="766">
        <f t="shared" si="50"/>
        <v>0</v>
      </c>
      <c r="R75" s="729" t="s">
        <v>1399</v>
      </c>
    </row>
    <row r="76" spans="1:21">
      <c r="A76" s="618" t="s">
        <v>616</v>
      </c>
      <c r="B76" s="757" t="s">
        <v>620</v>
      </c>
      <c r="C76" s="758" t="s">
        <v>25</v>
      </c>
      <c r="D76" s="759">
        <v>0</v>
      </c>
      <c r="E76" s="760">
        <f t="shared" si="45"/>
        <v>0</v>
      </c>
      <c r="F76" s="761">
        <f t="shared" si="48"/>
        <v>0</v>
      </c>
      <c r="G76" s="762">
        <f t="shared" si="48"/>
        <v>0</v>
      </c>
      <c r="H76" s="763">
        <f t="shared" si="48"/>
        <v>0</v>
      </c>
      <c r="I76" s="760">
        <f t="shared" si="47"/>
        <v>0</v>
      </c>
      <c r="J76" s="761">
        <f t="shared" si="49"/>
        <v>0</v>
      </c>
      <c r="K76" s="762">
        <f t="shared" si="49"/>
        <v>0</v>
      </c>
      <c r="L76" s="763">
        <f t="shared" si="49"/>
        <v>0</v>
      </c>
      <c r="M76" s="760">
        <f t="shared" si="49"/>
        <v>0</v>
      </c>
      <c r="N76" s="764">
        <f t="shared" si="26"/>
        <v>0</v>
      </c>
      <c r="O76" s="762">
        <f t="shared" si="50"/>
        <v>0</v>
      </c>
      <c r="P76" s="765">
        <f t="shared" si="50"/>
        <v>0</v>
      </c>
      <c r="Q76" s="766">
        <f t="shared" si="50"/>
        <v>0</v>
      </c>
      <c r="R76" s="729" t="s">
        <v>1401</v>
      </c>
    </row>
    <row r="77" spans="1:21" ht="39">
      <c r="A77" s="618" t="s">
        <v>616</v>
      </c>
      <c r="B77" s="757" t="s">
        <v>621</v>
      </c>
      <c r="C77" s="758" t="s">
        <v>597</v>
      </c>
      <c r="D77" s="759">
        <v>0</v>
      </c>
      <c r="E77" s="760">
        <f t="shared" si="45"/>
        <v>0</v>
      </c>
      <c r="F77" s="761">
        <f t="shared" si="48"/>
        <v>0</v>
      </c>
      <c r="G77" s="762">
        <f t="shared" si="48"/>
        <v>0</v>
      </c>
      <c r="H77" s="763">
        <f t="shared" si="48"/>
        <v>0</v>
      </c>
      <c r="I77" s="760">
        <f t="shared" si="47"/>
        <v>0</v>
      </c>
      <c r="J77" s="761">
        <f t="shared" si="49"/>
        <v>0</v>
      </c>
      <c r="K77" s="762">
        <f t="shared" si="49"/>
        <v>0</v>
      </c>
      <c r="L77" s="763">
        <f t="shared" si="49"/>
        <v>0</v>
      </c>
      <c r="M77" s="760">
        <f t="shared" si="49"/>
        <v>0</v>
      </c>
      <c r="N77" s="764">
        <f t="shared" si="26"/>
        <v>0</v>
      </c>
      <c r="O77" s="762">
        <f t="shared" si="50"/>
        <v>0</v>
      </c>
      <c r="P77" s="765">
        <f t="shared" si="50"/>
        <v>0</v>
      </c>
      <c r="Q77" s="766">
        <f t="shared" si="50"/>
        <v>0</v>
      </c>
      <c r="R77" s="729" t="s">
        <v>1403</v>
      </c>
    </row>
    <row r="78" spans="1:21">
      <c r="A78" s="618" t="s">
        <v>616</v>
      </c>
      <c r="B78" s="755" t="s">
        <v>135</v>
      </c>
      <c r="C78" s="768" t="s">
        <v>29</v>
      </c>
      <c r="D78" s="715">
        <f>D79+D80</f>
        <v>0.50264999999999993</v>
      </c>
      <c r="E78" s="716">
        <f t="shared" si="45"/>
        <v>0.13312600154080342</v>
      </c>
      <c r="F78" s="717">
        <f>F79+F80</f>
        <v>8.3220768312327505E-3</v>
      </c>
      <c r="G78" s="718">
        <f>G79+G80</f>
        <v>1.5486250112514423E-2</v>
      </c>
      <c r="H78" s="719">
        <f>H79+H80</f>
        <v>0.10931767459705626</v>
      </c>
      <c r="I78" s="716">
        <f t="shared" si="39"/>
        <v>0.31898717096274343</v>
      </c>
      <c r="J78" s="717">
        <f t="shared" ref="J78:Q78" si="51">J79+J80</f>
        <v>0.15966938436195902</v>
      </c>
      <c r="K78" s="718">
        <f t="shared" si="51"/>
        <v>0.10442397543970167</v>
      </c>
      <c r="L78" s="719">
        <f t="shared" si="51"/>
        <v>5.489381116108269E-2</v>
      </c>
      <c r="M78" s="716">
        <f t="shared" si="51"/>
        <v>4.8360229106221377E-2</v>
      </c>
      <c r="N78" s="720">
        <f t="shared" si="26"/>
        <v>1.4059697379883797E-4</v>
      </c>
      <c r="O78" s="718">
        <f>O79+O80</f>
        <v>1.4059697379883797E-4</v>
      </c>
      <c r="P78" s="728">
        <f t="shared" si="51"/>
        <v>0</v>
      </c>
      <c r="Q78" s="721">
        <f t="shared" si="51"/>
        <v>2.0360014164328673E-3</v>
      </c>
    </row>
    <row r="79" spans="1:21" ht="52.5">
      <c r="A79" s="618" t="s">
        <v>616</v>
      </c>
      <c r="B79" s="757" t="s">
        <v>402</v>
      </c>
      <c r="C79" s="769" t="s">
        <v>31</v>
      </c>
      <c r="D79" s="759">
        <v>0.50264999999999993</v>
      </c>
      <c r="E79" s="760">
        <f t="shared" si="45"/>
        <v>0.13312600154080342</v>
      </c>
      <c r="F79" s="761">
        <f t="shared" ref="F79:H80" si="52">IFERROR($D79*F106/100, 0)</f>
        <v>8.3220768312327505E-3</v>
      </c>
      <c r="G79" s="762">
        <f t="shared" si="52"/>
        <v>1.5486250112514423E-2</v>
      </c>
      <c r="H79" s="763">
        <f t="shared" si="52"/>
        <v>0.10931767459705626</v>
      </c>
      <c r="I79" s="760">
        <f t="shared" ref="I79:I80" si="53">SUM(J79:L79)</f>
        <v>0.31898717096274343</v>
      </c>
      <c r="J79" s="761">
        <f t="shared" ref="J79:M80" si="54">IFERROR($D79*J106/100, 0)</f>
        <v>0.15966938436195902</v>
      </c>
      <c r="K79" s="762">
        <f t="shared" si="54"/>
        <v>0.10442397543970167</v>
      </c>
      <c r="L79" s="763">
        <f t="shared" si="54"/>
        <v>5.489381116108269E-2</v>
      </c>
      <c r="M79" s="760">
        <f t="shared" si="54"/>
        <v>4.8360229106221377E-2</v>
      </c>
      <c r="N79" s="764">
        <f t="shared" si="26"/>
        <v>1.4059697379883797E-4</v>
      </c>
      <c r="O79" s="762">
        <f t="shared" ref="O79:Q80" si="55">IFERROR($D79*O106/100, 0)</f>
        <v>1.4059697379883797E-4</v>
      </c>
      <c r="P79" s="765">
        <f t="shared" si="55"/>
        <v>0</v>
      </c>
      <c r="Q79" s="766">
        <f t="shared" si="55"/>
        <v>2.0360014164328673E-3</v>
      </c>
      <c r="R79" s="729" t="s">
        <v>1405</v>
      </c>
    </row>
    <row r="80" spans="1:21">
      <c r="A80" s="618" t="s">
        <v>616</v>
      </c>
      <c r="B80" s="757" t="s">
        <v>622</v>
      </c>
      <c r="C80" s="769" t="s">
        <v>33</v>
      </c>
      <c r="D80" s="759">
        <v>0</v>
      </c>
      <c r="E80" s="760">
        <f t="shared" si="45"/>
        <v>0</v>
      </c>
      <c r="F80" s="761">
        <f t="shared" si="52"/>
        <v>0</v>
      </c>
      <c r="G80" s="762">
        <f t="shared" si="52"/>
        <v>0</v>
      </c>
      <c r="H80" s="763">
        <f t="shared" si="52"/>
        <v>0</v>
      </c>
      <c r="I80" s="760">
        <f t="shared" si="53"/>
        <v>0</v>
      </c>
      <c r="J80" s="761">
        <f t="shared" si="54"/>
        <v>0</v>
      </c>
      <c r="K80" s="762">
        <f t="shared" si="54"/>
        <v>0</v>
      </c>
      <c r="L80" s="763">
        <f t="shared" si="54"/>
        <v>0</v>
      </c>
      <c r="M80" s="760">
        <f t="shared" si="54"/>
        <v>0</v>
      </c>
      <c r="N80" s="764">
        <f t="shared" si="26"/>
        <v>0</v>
      </c>
      <c r="O80" s="762">
        <f t="shared" si="55"/>
        <v>0</v>
      </c>
      <c r="P80" s="765">
        <f t="shared" si="55"/>
        <v>0</v>
      </c>
      <c r="Q80" s="766">
        <f t="shared" si="55"/>
        <v>0</v>
      </c>
      <c r="R80" s="729" t="s">
        <v>1407</v>
      </c>
    </row>
    <row r="81" spans="1:18">
      <c r="A81" s="618" t="s">
        <v>616</v>
      </c>
      <c r="B81" s="755" t="s">
        <v>403</v>
      </c>
      <c r="C81" s="768" t="s">
        <v>35</v>
      </c>
      <c r="D81" s="715">
        <f>D82+D86</f>
        <v>4.4432199999999993</v>
      </c>
      <c r="E81" s="716">
        <f t="shared" si="45"/>
        <v>1.1767792948694491</v>
      </c>
      <c r="F81" s="717">
        <f>F82+F86</f>
        <v>7.3563748568725731E-2</v>
      </c>
      <c r="G81" s="718">
        <f>G82+G86</f>
        <v>0.13689210429707818</v>
      </c>
      <c r="H81" s="719">
        <f>H82+H86</f>
        <v>0.96632344200364528</v>
      </c>
      <c r="I81" s="716">
        <f t="shared" si="39"/>
        <v>2.8197158614643998</v>
      </c>
      <c r="J81" s="717">
        <f t="shared" ref="J81:Q81" si="56">J82+J86</f>
        <v>1.4114119207893037</v>
      </c>
      <c r="K81" s="718">
        <f t="shared" si="56"/>
        <v>0.9230651470271386</v>
      </c>
      <c r="L81" s="719">
        <f t="shared" si="56"/>
        <v>0.48523879364795747</v>
      </c>
      <c r="M81" s="716">
        <f t="shared" si="56"/>
        <v>0.42748460592727533</v>
      </c>
      <c r="N81" s="720">
        <f t="shared" si="26"/>
        <v>1.2428196278175129E-3</v>
      </c>
      <c r="O81" s="718">
        <f>O82+O86</f>
        <v>1.2428196278175129E-3</v>
      </c>
      <c r="P81" s="728">
        <f t="shared" si="56"/>
        <v>0</v>
      </c>
      <c r="Q81" s="721">
        <f t="shared" si="56"/>
        <v>1.7997418111057085E-2</v>
      </c>
    </row>
    <row r="82" spans="1:18">
      <c r="A82" s="618" t="s">
        <v>616</v>
      </c>
      <c r="B82" s="770" t="s">
        <v>404</v>
      </c>
      <c r="C82" s="769" t="s">
        <v>37</v>
      </c>
      <c r="D82" s="759">
        <v>0</v>
      </c>
      <c r="E82" s="760">
        <f t="shared" si="45"/>
        <v>0</v>
      </c>
      <c r="F82" s="761">
        <f t="shared" ref="F82:H86" si="57">IFERROR($D82*F109/100, 0)</f>
        <v>0</v>
      </c>
      <c r="G82" s="762">
        <f t="shared" si="57"/>
        <v>0</v>
      </c>
      <c r="H82" s="763">
        <f t="shared" si="57"/>
        <v>0</v>
      </c>
      <c r="I82" s="760">
        <f t="shared" ref="I82:I86" si="58">SUM(J82:L82)</f>
        <v>0</v>
      </c>
      <c r="J82" s="761">
        <f t="shared" ref="J82:M86" si="59">IFERROR($D82*J109/100, 0)</f>
        <v>0</v>
      </c>
      <c r="K82" s="762">
        <f t="shared" si="59"/>
        <v>0</v>
      </c>
      <c r="L82" s="763">
        <f t="shared" si="59"/>
        <v>0</v>
      </c>
      <c r="M82" s="760">
        <f t="shared" si="59"/>
        <v>0</v>
      </c>
      <c r="N82" s="764">
        <f t="shared" si="26"/>
        <v>0</v>
      </c>
      <c r="O82" s="762">
        <f t="shared" ref="O82:Q86" si="60">IFERROR($D82*O109/100, 0)</f>
        <v>0</v>
      </c>
      <c r="P82" s="765">
        <f t="shared" si="60"/>
        <v>0</v>
      </c>
      <c r="Q82" s="766">
        <f t="shared" si="60"/>
        <v>0</v>
      </c>
      <c r="R82" s="729" t="s">
        <v>1409</v>
      </c>
    </row>
    <row r="83" spans="1:18">
      <c r="A83" s="618" t="s">
        <v>616</v>
      </c>
      <c r="B83" s="770" t="s">
        <v>405</v>
      </c>
      <c r="C83" s="771" t="s">
        <v>40</v>
      </c>
      <c r="D83" s="759">
        <v>0</v>
      </c>
      <c r="E83" s="760">
        <f t="shared" si="45"/>
        <v>0</v>
      </c>
      <c r="F83" s="761">
        <f t="shared" si="57"/>
        <v>0</v>
      </c>
      <c r="G83" s="762">
        <f t="shared" si="57"/>
        <v>0</v>
      </c>
      <c r="H83" s="763">
        <f t="shared" si="57"/>
        <v>0</v>
      </c>
      <c r="I83" s="760">
        <f t="shared" si="58"/>
        <v>0</v>
      </c>
      <c r="J83" s="761">
        <f t="shared" si="59"/>
        <v>0</v>
      </c>
      <c r="K83" s="762">
        <f t="shared" si="59"/>
        <v>0</v>
      </c>
      <c r="L83" s="763">
        <f t="shared" si="59"/>
        <v>0</v>
      </c>
      <c r="M83" s="760">
        <f t="shared" si="59"/>
        <v>0</v>
      </c>
      <c r="N83" s="764">
        <f t="shared" si="26"/>
        <v>0</v>
      </c>
      <c r="O83" s="762">
        <f t="shared" si="60"/>
        <v>0</v>
      </c>
      <c r="P83" s="765">
        <f t="shared" si="60"/>
        <v>0</v>
      </c>
      <c r="Q83" s="766">
        <f t="shared" si="60"/>
        <v>0</v>
      </c>
      <c r="R83" s="729" t="s">
        <v>1411</v>
      </c>
    </row>
    <row r="84" spans="1:18">
      <c r="A84" s="618" t="s">
        <v>616</v>
      </c>
      <c r="B84" s="770" t="s">
        <v>406</v>
      </c>
      <c r="C84" s="771" t="s">
        <v>43</v>
      </c>
      <c r="D84" s="759">
        <v>0</v>
      </c>
      <c r="E84" s="760">
        <f t="shared" si="45"/>
        <v>0</v>
      </c>
      <c r="F84" s="761">
        <f t="shared" si="57"/>
        <v>0</v>
      </c>
      <c r="G84" s="762">
        <f t="shared" si="57"/>
        <v>0</v>
      </c>
      <c r="H84" s="763">
        <f t="shared" si="57"/>
        <v>0</v>
      </c>
      <c r="I84" s="760">
        <f t="shared" si="58"/>
        <v>0</v>
      </c>
      <c r="J84" s="761">
        <f t="shared" si="59"/>
        <v>0</v>
      </c>
      <c r="K84" s="762">
        <f t="shared" si="59"/>
        <v>0</v>
      </c>
      <c r="L84" s="763">
        <f t="shared" si="59"/>
        <v>0</v>
      </c>
      <c r="M84" s="760">
        <f t="shared" si="59"/>
        <v>0</v>
      </c>
      <c r="N84" s="764">
        <f t="shared" si="26"/>
        <v>0</v>
      </c>
      <c r="O84" s="762">
        <f t="shared" si="60"/>
        <v>0</v>
      </c>
      <c r="P84" s="765">
        <f t="shared" si="60"/>
        <v>0</v>
      </c>
      <c r="Q84" s="766">
        <f t="shared" si="60"/>
        <v>0</v>
      </c>
      <c r="R84" s="729" t="s">
        <v>1413</v>
      </c>
    </row>
    <row r="85" spans="1:18" ht="26.5">
      <c r="A85" s="618" t="s">
        <v>616</v>
      </c>
      <c r="B85" s="770" t="s">
        <v>407</v>
      </c>
      <c r="C85" s="771" t="s">
        <v>45</v>
      </c>
      <c r="D85" s="759">
        <v>0</v>
      </c>
      <c r="E85" s="760">
        <f t="shared" si="45"/>
        <v>0</v>
      </c>
      <c r="F85" s="761">
        <f t="shared" si="57"/>
        <v>0</v>
      </c>
      <c r="G85" s="762">
        <f t="shared" si="57"/>
        <v>0</v>
      </c>
      <c r="H85" s="763">
        <f t="shared" si="57"/>
        <v>0</v>
      </c>
      <c r="I85" s="760">
        <f t="shared" si="58"/>
        <v>0</v>
      </c>
      <c r="J85" s="761">
        <f t="shared" si="59"/>
        <v>0</v>
      </c>
      <c r="K85" s="762">
        <f t="shared" si="59"/>
        <v>0</v>
      </c>
      <c r="L85" s="763">
        <f t="shared" si="59"/>
        <v>0</v>
      </c>
      <c r="M85" s="760">
        <f t="shared" si="59"/>
        <v>0</v>
      </c>
      <c r="N85" s="764">
        <f t="shared" si="26"/>
        <v>0</v>
      </c>
      <c r="O85" s="762">
        <f t="shared" si="60"/>
        <v>0</v>
      </c>
      <c r="P85" s="765">
        <f t="shared" si="60"/>
        <v>0</v>
      </c>
      <c r="Q85" s="766">
        <f t="shared" si="60"/>
        <v>0</v>
      </c>
      <c r="R85" s="729" t="s">
        <v>1415</v>
      </c>
    </row>
    <row r="86" spans="1:18" ht="26.5">
      <c r="A86" s="618" t="s">
        <v>616</v>
      </c>
      <c r="B86" s="770" t="s">
        <v>408</v>
      </c>
      <c r="C86" s="771" t="s">
        <v>603</v>
      </c>
      <c r="D86" s="759">
        <v>4.4432199999999993</v>
      </c>
      <c r="E86" s="760">
        <f t="shared" si="45"/>
        <v>1.1767792948694491</v>
      </c>
      <c r="F86" s="761">
        <f t="shared" si="57"/>
        <v>7.3563748568725731E-2</v>
      </c>
      <c r="G86" s="762">
        <f t="shared" si="57"/>
        <v>0.13689210429707818</v>
      </c>
      <c r="H86" s="763">
        <f t="shared" si="57"/>
        <v>0.96632344200364528</v>
      </c>
      <c r="I86" s="760">
        <f t="shared" si="58"/>
        <v>2.8197158614643998</v>
      </c>
      <c r="J86" s="761">
        <f t="shared" si="59"/>
        <v>1.4114119207893037</v>
      </c>
      <c r="K86" s="762">
        <f t="shared" si="59"/>
        <v>0.9230651470271386</v>
      </c>
      <c r="L86" s="763">
        <f t="shared" si="59"/>
        <v>0.48523879364795747</v>
      </c>
      <c r="M86" s="760">
        <f t="shared" si="59"/>
        <v>0.42748460592727533</v>
      </c>
      <c r="N86" s="764">
        <f t="shared" si="26"/>
        <v>1.2428196278175129E-3</v>
      </c>
      <c r="O86" s="762">
        <f t="shared" si="60"/>
        <v>1.2428196278175129E-3</v>
      </c>
      <c r="P86" s="765">
        <f t="shared" si="60"/>
        <v>0</v>
      </c>
      <c r="Q86" s="766">
        <f t="shared" si="60"/>
        <v>1.7997418111057085E-2</v>
      </c>
      <c r="R86" s="729" t="s">
        <v>1417</v>
      </c>
    </row>
    <row r="87" spans="1:18">
      <c r="A87" s="618" t="s">
        <v>616</v>
      </c>
      <c r="B87" s="755" t="s">
        <v>409</v>
      </c>
      <c r="C87" s="772" t="s">
        <v>51</v>
      </c>
      <c r="D87" s="730">
        <f>D88+D89</f>
        <v>28.927200000000003</v>
      </c>
      <c r="E87" s="731">
        <f t="shared" si="45"/>
        <v>7.6613199478188214</v>
      </c>
      <c r="F87" s="738">
        <f>F88+F89</f>
        <v>0.47893043054299433</v>
      </c>
      <c r="G87" s="739">
        <f>G88+G89</f>
        <v>0.89122422014269842</v>
      </c>
      <c r="H87" s="740">
        <f>H88+H89</f>
        <v>6.2911652971331282</v>
      </c>
      <c r="I87" s="731">
        <f t="shared" si="39"/>
        <v>18.357516546052864</v>
      </c>
      <c r="J87" s="738">
        <f>J88+J89</f>
        <v>9.1888753910579162</v>
      </c>
      <c r="K87" s="739">
        <f>K88+K89</f>
        <v>6.0095359043854337</v>
      </c>
      <c r="L87" s="740">
        <f>L88+L89</f>
        <v>3.159105250609513</v>
      </c>
      <c r="M87" s="731">
        <f>M88+M89</f>
        <v>2.7831016003212721</v>
      </c>
      <c r="N87" s="736">
        <f t="shared" si="26"/>
        <v>8.0912698308440202E-3</v>
      </c>
      <c r="O87" s="739">
        <f>O88+O89</f>
        <v>8.0912698308440202E-3</v>
      </c>
      <c r="P87" s="741">
        <f>P88+P89</f>
        <v>0</v>
      </c>
      <c r="Q87" s="742">
        <f>Q88+Q89</f>
        <v>0.11717063597619982</v>
      </c>
    </row>
    <row r="88" spans="1:18">
      <c r="A88" s="618" t="s">
        <v>616</v>
      </c>
      <c r="B88" s="773" t="s">
        <v>623</v>
      </c>
      <c r="C88" s="774" t="s">
        <v>53</v>
      </c>
      <c r="D88" s="759">
        <v>11.55</v>
      </c>
      <c r="E88" s="760">
        <f>SUM(F88:H88)</f>
        <v>3.0589979464762358</v>
      </c>
      <c r="F88" s="761">
        <f t="shared" ref="F88:H88" si="61">IFERROR($D88*F115/100, 0)</f>
        <v>0.19122647448669711</v>
      </c>
      <c r="G88" s="762">
        <f t="shared" si="61"/>
        <v>0.35584639172295163</v>
      </c>
      <c r="H88" s="763">
        <f t="shared" si="61"/>
        <v>2.5119250802665873</v>
      </c>
      <c r="I88" s="760">
        <f t="shared" ref="I88:I89" si="62">SUM(J88:L88)</f>
        <v>7.3297559427428371</v>
      </c>
      <c r="J88" s="761">
        <f t="shared" ref="J88:M88" si="63">IFERROR($D88*J115/100, 0)</f>
        <v>3.6689175159268421</v>
      </c>
      <c r="K88" s="762">
        <f t="shared" si="63"/>
        <v>2.3994766066419069</v>
      </c>
      <c r="L88" s="763">
        <f t="shared" si="63"/>
        <v>1.2613618201740877</v>
      </c>
      <c r="M88" s="760">
        <f t="shared" si="63"/>
        <v>1.1112317640044902</v>
      </c>
      <c r="N88" s="764">
        <f t="shared" si="26"/>
        <v>3.2306675567026336E-3</v>
      </c>
      <c r="O88" s="762">
        <f t="shared" ref="O88:Q88" si="64">IFERROR($D88*O115/100, 0)</f>
        <v>3.2306675567026336E-3</v>
      </c>
      <c r="P88" s="765">
        <f t="shared" si="64"/>
        <v>0</v>
      </c>
      <c r="Q88" s="766">
        <f t="shared" si="64"/>
        <v>4.6783679219734642E-2</v>
      </c>
      <c r="R88" s="128" t="s">
        <v>1435</v>
      </c>
    </row>
    <row r="89" spans="1:18" ht="26.5">
      <c r="A89" s="618" t="s">
        <v>616</v>
      </c>
      <c r="B89" s="773" t="s">
        <v>624</v>
      </c>
      <c r="C89" s="775" t="s">
        <v>55</v>
      </c>
      <c r="D89" s="759">
        <v>17.377200000000002</v>
      </c>
      <c r="E89" s="760">
        <f t="shared" ref="E89" si="65">SUM(F89:H89)</f>
        <v>4.6023220013425847</v>
      </c>
      <c r="F89" s="761">
        <f>IFERROR($D89*F111/100, 0)</f>
        <v>0.28770395605629723</v>
      </c>
      <c r="G89" s="762">
        <f>IFERROR($D89*G111/100, 0)</f>
        <v>0.53537782841974679</v>
      </c>
      <c r="H89" s="763">
        <f>IFERROR($D89*H111/100, 0)</f>
        <v>3.7792402168665404</v>
      </c>
      <c r="I89" s="760">
        <f t="shared" si="62"/>
        <v>11.027760603310027</v>
      </c>
      <c r="J89" s="761">
        <f>IFERROR($D89*J111/100, 0)</f>
        <v>5.5199578751310749</v>
      </c>
      <c r="K89" s="762">
        <f>IFERROR($D89*K111/100, 0)</f>
        <v>3.6100592977435273</v>
      </c>
      <c r="L89" s="763">
        <f>IFERROR($D89*L111/100, 0)</f>
        <v>1.897743430435425</v>
      </c>
      <c r="M89" s="760">
        <f>IFERROR($D89*M111/100, 0)</f>
        <v>1.6718698363167817</v>
      </c>
      <c r="N89" s="764">
        <f t="shared" si="26"/>
        <v>4.8606022741413861E-3</v>
      </c>
      <c r="O89" s="762">
        <f>IFERROR($D89*O111/100, 0)</f>
        <v>4.8606022741413861E-3</v>
      </c>
      <c r="P89" s="765">
        <f>IFERROR($D89*P111/100, 0)</f>
        <v>0</v>
      </c>
      <c r="Q89" s="766">
        <f>IFERROR($D89*Q111/100, 0)</f>
        <v>7.0386956756465183E-2</v>
      </c>
      <c r="R89" s="128" t="s">
        <v>1436</v>
      </c>
    </row>
    <row r="90" spans="1:18">
      <c r="A90" s="618" t="s">
        <v>616</v>
      </c>
      <c r="B90" s="694" t="s">
        <v>410</v>
      </c>
      <c r="C90" s="695" t="s">
        <v>604</v>
      </c>
      <c r="D90" s="730">
        <f>D91+D92+D93</f>
        <v>0.32791999999999999</v>
      </c>
      <c r="E90" s="731">
        <f t="shared" ref="E90:Q90" si="66">E91+E92+E93</f>
        <v>8.6849056849219675E-2</v>
      </c>
      <c r="F90" s="730">
        <f t="shared" si="66"/>
        <v>5.4291762349504514E-3</v>
      </c>
      <c r="G90" s="776">
        <f t="shared" si="66"/>
        <v>1.0102956603791367E-2</v>
      </c>
      <c r="H90" s="776">
        <f t="shared" si="66"/>
        <v>7.1316924010477858E-2</v>
      </c>
      <c r="I90" s="731">
        <f t="shared" si="66"/>
        <v>0.20810160768348318</v>
      </c>
      <c r="J90" s="730">
        <f t="shared" si="66"/>
        <v>0.10416549193270389</v>
      </c>
      <c r="K90" s="776">
        <f t="shared" si="66"/>
        <v>6.8124360939395154E-2</v>
      </c>
      <c r="L90" s="776">
        <f t="shared" si="66"/>
        <v>3.5811754811384142E-2</v>
      </c>
      <c r="M90" s="777">
        <f t="shared" si="66"/>
        <v>3.1549361043493714E-2</v>
      </c>
      <c r="N90" s="736">
        <f t="shared" si="26"/>
        <v>9.1722987462677707E-5</v>
      </c>
      <c r="O90" s="776">
        <f>O91+O92+O93</f>
        <v>9.1722987462677707E-5</v>
      </c>
      <c r="P90" s="778">
        <f t="shared" si="66"/>
        <v>0</v>
      </c>
      <c r="Q90" s="779">
        <f t="shared" si="66"/>
        <v>1.3282514363407258E-3</v>
      </c>
    </row>
    <row r="91" spans="1:18">
      <c r="A91" s="618" t="s">
        <v>616</v>
      </c>
      <c r="B91" s="696" t="s">
        <v>411</v>
      </c>
      <c r="C91" s="697" t="s">
        <v>1433</v>
      </c>
      <c r="D91" s="759">
        <v>0.32791999999999999</v>
      </c>
      <c r="E91" s="760">
        <f t="shared" ref="E91:E93" si="67">SUM(F91:H91)</f>
        <v>8.6849056849219675E-2</v>
      </c>
      <c r="F91" s="761">
        <f t="shared" ref="F91:H93" si="68">IFERROR($D91*F113/100, 0)</f>
        <v>5.4291762349504514E-3</v>
      </c>
      <c r="G91" s="762">
        <f t="shared" si="68"/>
        <v>1.0102956603791367E-2</v>
      </c>
      <c r="H91" s="763">
        <f t="shared" si="68"/>
        <v>7.1316924010477858E-2</v>
      </c>
      <c r="I91" s="760">
        <f t="shared" ref="I91:I93" si="69">SUM(J91:L91)</f>
        <v>0.20810160768348318</v>
      </c>
      <c r="J91" s="761">
        <f t="shared" ref="J91:M93" si="70">IFERROR($D91*J113/100, 0)</f>
        <v>0.10416549193270389</v>
      </c>
      <c r="K91" s="762">
        <f t="shared" si="70"/>
        <v>6.8124360939395154E-2</v>
      </c>
      <c r="L91" s="763">
        <f t="shared" si="70"/>
        <v>3.5811754811384142E-2</v>
      </c>
      <c r="M91" s="760">
        <f t="shared" si="70"/>
        <v>3.1549361043493714E-2</v>
      </c>
      <c r="N91" s="764">
        <f t="shared" si="26"/>
        <v>9.1722987462677707E-5</v>
      </c>
      <c r="O91" s="762">
        <f t="shared" ref="O91:Q93" si="71">IFERROR($D91*O113/100, 0)</f>
        <v>9.1722987462677707E-5</v>
      </c>
      <c r="P91" s="765">
        <f t="shared" si="71"/>
        <v>0</v>
      </c>
      <c r="Q91" s="766">
        <f t="shared" si="71"/>
        <v>1.3282514363407258E-3</v>
      </c>
      <c r="R91" s="128" t="s">
        <v>1437</v>
      </c>
    </row>
    <row r="92" spans="1:18">
      <c r="A92" s="618" t="s">
        <v>616</v>
      </c>
      <c r="B92" s="681" t="s">
        <v>412</v>
      </c>
      <c r="C92" s="697" t="s">
        <v>47</v>
      </c>
      <c r="D92" s="759">
        <v>0</v>
      </c>
      <c r="E92" s="760">
        <f t="shared" si="67"/>
        <v>0</v>
      </c>
      <c r="F92" s="761">
        <f t="shared" si="68"/>
        <v>0</v>
      </c>
      <c r="G92" s="762">
        <f t="shared" si="68"/>
        <v>0</v>
      </c>
      <c r="H92" s="763">
        <f t="shared" si="68"/>
        <v>0</v>
      </c>
      <c r="I92" s="760">
        <f t="shared" si="69"/>
        <v>0</v>
      </c>
      <c r="J92" s="761">
        <f t="shared" si="70"/>
        <v>0</v>
      </c>
      <c r="K92" s="762">
        <f t="shared" si="70"/>
        <v>0</v>
      </c>
      <c r="L92" s="763">
        <f t="shared" si="70"/>
        <v>0</v>
      </c>
      <c r="M92" s="760">
        <f t="shared" si="70"/>
        <v>0</v>
      </c>
      <c r="N92" s="764">
        <f t="shared" si="26"/>
        <v>0</v>
      </c>
      <c r="O92" s="762">
        <f t="shared" si="71"/>
        <v>0</v>
      </c>
      <c r="P92" s="765">
        <f t="shared" si="71"/>
        <v>0</v>
      </c>
      <c r="Q92" s="766">
        <f t="shared" si="71"/>
        <v>0</v>
      </c>
      <c r="R92" s="128" t="s">
        <v>1419</v>
      </c>
    </row>
    <row r="93" spans="1:18" ht="15" thickBot="1">
      <c r="A93" s="618"/>
      <c r="B93" s="780" t="s">
        <v>413</v>
      </c>
      <c r="C93" s="699" t="s">
        <v>1434</v>
      </c>
      <c r="D93" s="759">
        <v>0</v>
      </c>
      <c r="E93" s="760">
        <f t="shared" si="67"/>
        <v>0</v>
      </c>
      <c r="F93" s="761">
        <f t="shared" si="68"/>
        <v>0</v>
      </c>
      <c r="G93" s="762">
        <f t="shared" si="68"/>
        <v>0</v>
      </c>
      <c r="H93" s="763">
        <f t="shared" si="68"/>
        <v>0</v>
      </c>
      <c r="I93" s="760">
        <f t="shared" si="69"/>
        <v>0</v>
      </c>
      <c r="J93" s="761">
        <f t="shared" si="70"/>
        <v>0</v>
      </c>
      <c r="K93" s="762">
        <f t="shared" si="70"/>
        <v>0</v>
      </c>
      <c r="L93" s="763">
        <f t="shared" si="70"/>
        <v>0</v>
      </c>
      <c r="M93" s="760">
        <f t="shared" si="70"/>
        <v>0</v>
      </c>
      <c r="N93" s="764">
        <f t="shared" si="26"/>
        <v>0</v>
      </c>
      <c r="O93" s="762">
        <f t="shared" si="71"/>
        <v>0</v>
      </c>
      <c r="P93" s="765">
        <f t="shared" si="71"/>
        <v>0</v>
      </c>
      <c r="Q93" s="766">
        <f t="shared" si="71"/>
        <v>0</v>
      </c>
      <c r="R93" s="128" t="s">
        <v>1421</v>
      </c>
    </row>
    <row r="94" spans="1:18" ht="65.5" thickBot="1">
      <c r="A94" s="618"/>
      <c r="B94" s="622" t="s">
        <v>137</v>
      </c>
      <c r="C94" s="781" t="s">
        <v>625</v>
      </c>
      <c r="D94" s="624" t="s">
        <v>238</v>
      </c>
      <c r="E94" s="625" t="s">
        <v>239</v>
      </c>
      <c r="F94" s="626" t="s">
        <v>240</v>
      </c>
      <c r="G94" s="627" t="s">
        <v>241</v>
      </c>
      <c r="H94" s="628" t="s">
        <v>242</v>
      </c>
      <c r="I94" s="625" t="s">
        <v>243</v>
      </c>
      <c r="J94" s="626" t="s">
        <v>244</v>
      </c>
      <c r="K94" s="627" t="s">
        <v>245</v>
      </c>
      <c r="L94" s="782" t="s">
        <v>246</v>
      </c>
      <c r="M94" s="625" t="s">
        <v>247</v>
      </c>
      <c r="N94" s="629" t="s">
        <v>248</v>
      </c>
      <c r="O94" s="631" t="s">
        <v>590</v>
      </c>
      <c r="P94" s="783" t="s">
        <v>250</v>
      </c>
      <c r="Q94" s="633" t="s">
        <v>251</v>
      </c>
    </row>
    <row r="95" spans="1:18" ht="26">
      <c r="A95" s="618" t="s">
        <v>1381</v>
      </c>
      <c r="B95" s="784" t="s">
        <v>139</v>
      </c>
      <c r="C95" s="785" t="s">
        <v>1382</v>
      </c>
      <c r="D95" s="786">
        <f t="shared" ref="D95:D115" si="72">O95+E95+I95+M95+P95+Q95</f>
        <v>99.999999999999986</v>
      </c>
      <c r="E95" s="787">
        <f>SUM(F95:H95)</f>
        <v>26.484830705421956</v>
      </c>
      <c r="F95" s="788">
        <v>1.6556404717462951</v>
      </c>
      <c r="G95" s="789">
        <v>3.0809211404584556</v>
      </c>
      <c r="H95" s="790">
        <v>21.748269093217203</v>
      </c>
      <c r="I95" s="787">
        <f t="shared" ref="I95:I115" si="73">SUM(J95:L95)</f>
        <v>63.461090413357887</v>
      </c>
      <c r="J95" s="788">
        <v>31.765519618414213</v>
      </c>
      <c r="K95" s="789">
        <v>20.774689234994863</v>
      </c>
      <c r="L95" s="790">
        <v>10.92088155994881</v>
      </c>
      <c r="M95" s="791">
        <v>9.6210542338051095</v>
      </c>
      <c r="N95" s="792">
        <f t="shared" ref="N95:N142" si="74">O95+P95</f>
        <v>2.7971147677079079E-2</v>
      </c>
      <c r="O95" s="789">
        <v>2.7971147677079079E-2</v>
      </c>
      <c r="P95" s="793">
        <v>0</v>
      </c>
      <c r="Q95" s="794">
        <v>0.40505349973796229</v>
      </c>
      <c r="R95" s="128" t="s">
        <v>626</v>
      </c>
    </row>
    <row r="96" spans="1:18" ht="26">
      <c r="A96" s="618" t="s">
        <v>1383</v>
      </c>
      <c r="B96" s="795" t="s">
        <v>141</v>
      </c>
      <c r="C96" s="796" t="s">
        <v>1384</v>
      </c>
      <c r="D96" s="797">
        <f t="shared" si="72"/>
        <v>99.999999999999986</v>
      </c>
      <c r="E96" s="798">
        <f t="shared" ref="E96:E115" si="75">SUM(F96:H96)</f>
        <v>26.484830705421956</v>
      </c>
      <c r="F96" s="799">
        <v>1.6556404717462951</v>
      </c>
      <c r="G96" s="800">
        <v>3.0809211404584556</v>
      </c>
      <c r="H96" s="801">
        <v>21.748269093217203</v>
      </c>
      <c r="I96" s="798">
        <f t="shared" si="73"/>
        <v>63.461090413357887</v>
      </c>
      <c r="J96" s="799">
        <v>31.765519618414213</v>
      </c>
      <c r="K96" s="800">
        <v>20.774689234994863</v>
      </c>
      <c r="L96" s="801">
        <v>10.92088155994881</v>
      </c>
      <c r="M96" s="802">
        <v>9.6210542338051095</v>
      </c>
      <c r="N96" s="792">
        <f t="shared" si="74"/>
        <v>2.7971147677079079E-2</v>
      </c>
      <c r="O96" s="800">
        <v>2.7971147677079079E-2</v>
      </c>
      <c r="P96" s="803">
        <v>0</v>
      </c>
      <c r="Q96" s="804">
        <v>0.40505349973796229</v>
      </c>
      <c r="R96" s="128" t="s">
        <v>627</v>
      </c>
    </row>
    <row r="97" spans="1:18" ht="26">
      <c r="A97" s="618" t="s">
        <v>1385</v>
      </c>
      <c r="B97" s="795" t="s">
        <v>143</v>
      </c>
      <c r="C97" s="796" t="s">
        <v>1386</v>
      </c>
      <c r="D97" s="797">
        <f t="shared" si="72"/>
        <v>99.999999999999986</v>
      </c>
      <c r="E97" s="798">
        <f t="shared" si="75"/>
        <v>26.484830705421956</v>
      </c>
      <c r="F97" s="799">
        <v>1.6556404717462951</v>
      </c>
      <c r="G97" s="800">
        <v>3.0809211404584556</v>
      </c>
      <c r="H97" s="801">
        <v>21.748269093217203</v>
      </c>
      <c r="I97" s="798">
        <f t="shared" si="73"/>
        <v>63.461090413357887</v>
      </c>
      <c r="J97" s="799">
        <v>31.765519618414213</v>
      </c>
      <c r="K97" s="800">
        <v>20.774689234994863</v>
      </c>
      <c r="L97" s="801">
        <v>10.92088155994881</v>
      </c>
      <c r="M97" s="802">
        <v>9.6210542338051095</v>
      </c>
      <c r="N97" s="792">
        <f t="shared" si="74"/>
        <v>2.7971147677079079E-2</v>
      </c>
      <c r="O97" s="800">
        <v>2.7971147677079079E-2</v>
      </c>
      <c r="P97" s="803">
        <v>0</v>
      </c>
      <c r="Q97" s="804">
        <v>0.40505349973796229</v>
      </c>
      <c r="R97" s="128" t="s">
        <v>628</v>
      </c>
    </row>
    <row r="98" spans="1:18" ht="26">
      <c r="A98" s="618" t="s">
        <v>1387</v>
      </c>
      <c r="B98" s="805" t="s">
        <v>451</v>
      </c>
      <c r="C98" s="796" t="s">
        <v>1388</v>
      </c>
      <c r="D98" s="797">
        <f t="shared" si="72"/>
        <v>99.999999999999986</v>
      </c>
      <c r="E98" s="798">
        <f t="shared" si="75"/>
        <v>26.484830705421956</v>
      </c>
      <c r="F98" s="799">
        <v>1.6556404717462951</v>
      </c>
      <c r="G98" s="800">
        <v>3.0809211404584556</v>
      </c>
      <c r="H98" s="801">
        <v>21.748269093217203</v>
      </c>
      <c r="I98" s="798">
        <f t="shared" si="73"/>
        <v>63.461090413357887</v>
      </c>
      <c r="J98" s="799">
        <v>31.765519618414213</v>
      </c>
      <c r="K98" s="800">
        <v>20.774689234994863</v>
      </c>
      <c r="L98" s="801">
        <v>10.92088155994881</v>
      </c>
      <c r="M98" s="802">
        <v>9.6210542338051095</v>
      </c>
      <c r="N98" s="792">
        <f t="shared" si="74"/>
        <v>2.7971147677079079E-2</v>
      </c>
      <c r="O98" s="800">
        <v>2.7971147677079079E-2</v>
      </c>
      <c r="P98" s="803">
        <v>0</v>
      </c>
      <c r="Q98" s="804">
        <v>0.40505349973796229</v>
      </c>
      <c r="R98" s="128" t="s">
        <v>629</v>
      </c>
    </row>
    <row r="99" spans="1:18" ht="26">
      <c r="A99" s="618" t="s">
        <v>1389</v>
      </c>
      <c r="B99" s="795" t="s">
        <v>455</v>
      </c>
      <c r="C99" s="796" t="s">
        <v>1390</v>
      </c>
      <c r="D99" s="797">
        <f t="shared" si="72"/>
        <v>99.999999999999986</v>
      </c>
      <c r="E99" s="798">
        <f t="shared" si="75"/>
        <v>26.484830705421956</v>
      </c>
      <c r="F99" s="799">
        <v>1.6556404717462951</v>
      </c>
      <c r="G99" s="800">
        <v>3.0809211404584556</v>
      </c>
      <c r="H99" s="801">
        <v>21.748269093217203</v>
      </c>
      <c r="I99" s="798">
        <f t="shared" si="73"/>
        <v>63.461090413357887</v>
      </c>
      <c r="J99" s="799">
        <v>31.765519618414213</v>
      </c>
      <c r="K99" s="800">
        <v>20.774689234994863</v>
      </c>
      <c r="L99" s="801">
        <v>10.92088155994881</v>
      </c>
      <c r="M99" s="802">
        <v>9.6210542338051095</v>
      </c>
      <c r="N99" s="792">
        <f t="shared" si="74"/>
        <v>2.7971147677079079E-2</v>
      </c>
      <c r="O99" s="800">
        <v>2.7971147677079079E-2</v>
      </c>
      <c r="P99" s="803">
        <v>0</v>
      </c>
      <c r="Q99" s="804">
        <v>0.40505349973796229</v>
      </c>
      <c r="R99" s="128" t="s">
        <v>630</v>
      </c>
    </row>
    <row r="100" spans="1:18" ht="26">
      <c r="A100" s="618" t="s">
        <v>1391</v>
      </c>
      <c r="B100" s="795" t="s">
        <v>457</v>
      </c>
      <c r="C100" s="796" t="s">
        <v>1392</v>
      </c>
      <c r="D100" s="797">
        <f t="shared" si="72"/>
        <v>99.999999999999986</v>
      </c>
      <c r="E100" s="798">
        <f t="shared" si="75"/>
        <v>26.484830705421956</v>
      </c>
      <c r="F100" s="799">
        <v>1.6556404717462951</v>
      </c>
      <c r="G100" s="800">
        <v>3.0809211404584556</v>
      </c>
      <c r="H100" s="801">
        <v>21.748269093217203</v>
      </c>
      <c r="I100" s="798">
        <f t="shared" si="73"/>
        <v>63.461090413357887</v>
      </c>
      <c r="J100" s="799">
        <v>31.765519618414213</v>
      </c>
      <c r="K100" s="800">
        <v>20.774689234994863</v>
      </c>
      <c r="L100" s="801">
        <v>10.92088155994881</v>
      </c>
      <c r="M100" s="802">
        <v>9.6210542338051095</v>
      </c>
      <c r="N100" s="792">
        <f t="shared" si="74"/>
        <v>2.7971147677079079E-2</v>
      </c>
      <c r="O100" s="800">
        <v>2.7971147677079079E-2</v>
      </c>
      <c r="P100" s="803">
        <v>0</v>
      </c>
      <c r="Q100" s="804">
        <v>0.40505349973796229</v>
      </c>
      <c r="R100" s="128" t="s">
        <v>631</v>
      </c>
    </row>
    <row r="101" spans="1:18" ht="26">
      <c r="A101" s="618" t="s">
        <v>1393</v>
      </c>
      <c r="B101" s="795" t="s">
        <v>461</v>
      </c>
      <c r="C101" s="796" t="s">
        <v>1394</v>
      </c>
      <c r="D101" s="797">
        <f t="shared" si="72"/>
        <v>99.999999999999986</v>
      </c>
      <c r="E101" s="798">
        <f t="shared" ref="E101:E112" si="76">SUM(F101:H101)</f>
        <v>26.484830705421956</v>
      </c>
      <c r="F101" s="799">
        <v>1.6556404717462951</v>
      </c>
      <c r="G101" s="800">
        <v>3.0809211404584556</v>
      </c>
      <c r="H101" s="801">
        <v>21.748269093217203</v>
      </c>
      <c r="I101" s="798">
        <f t="shared" si="73"/>
        <v>63.461090413357887</v>
      </c>
      <c r="J101" s="799">
        <v>31.765519618414213</v>
      </c>
      <c r="K101" s="800">
        <v>20.774689234994863</v>
      </c>
      <c r="L101" s="801">
        <v>10.92088155994881</v>
      </c>
      <c r="M101" s="802">
        <v>9.6210542338051095</v>
      </c>
      <c r="N101" s="792">
        <f t="shared" si="74"/>
        <v>2.7971147677079079E-2</v>
      </c>
      <c r="O101" s="800">
        <v>2.7971147677079079E-2</v>
      </c>
      <c r="P101" s="803">
        <v>0</v>
      </c>
      <c r="Q101" s="804">
        <v>0.40505349973796229</v>
      </c>
      <c r="R101" s="128" t="s">
        <v>632</v>
      </c>
    </row>
    <row r="102" spans="1:18" ht="26">
      <c r="A102" s="618" t="s">
        <v>1395</v>
      </c>
      <c r="B102" s="795" t="s">
        <v>465</v>
      </c>
      <c r="C102" s="796" t="s">
        <v>1396</v>
      </c>
      <c r="D102" s="797">
        <f t="shared" si="72"/>
        <v>99.999999999999986</v>
      </c>
      <c r="E102" s="798">
        <f t="shared" si="76"/>
        <v>26.484830705421956</v>
      </c>
      <c r="F102" s="799">
        <v>1.6556404717462951</v>
      </c>
      <c r="G102" s="800">
        <v>3.0809211404584556</v>
      </c>
      <c r="H102" s="801">
        <v>21.748269093217203</v>
      </c>
      <c r="I102" s="798">
        <f t="shared" si="73"/>
        <v>63.461090413357887</v>
      </c>
      <c r="J102" s="799">
        <v>31.765519618414213</v>
      </c>
      <c r="K102" s="800">
        <v>20.774689234994863</v>
      </c>
      <c r="L102" s="801">
        <v>10.92088155994881</v>
      </c>
      <c r="M102" s="802">
        <v>9.6210542338051095</v>
      </c>
      <c r="N102" s="792">
        <f t="shared" si="74"/>
        <v>2.7971147677079079E-2</v>
      </c>
      <c r="O102" s="800">
        <v>2.7971147677079079E-2</v>
      </c>
      <c r="P102" s="803">
        <v>0</v>
      </c>
      <c r="Q102" s="804">
        <v>0.40505349973796229</v>
      </c>
      <c r="R102" s="128" t="s">
        <v>633</v>
      </c>
    </row>
    <row r="103" spans="1:18" ht="26">
      <c r="A103" s="618" t="s">
        <v>1397</v>
      </c>
      <c r="B103" s="795" t="s">
        <v>469</v>
      </c>
      <c r="C103" s="796" t="s">
        <v>1398</v>
      </c>
      <c r="D103" s="797">
        <f t="shared" si="72"/>
        <v>99.999999999999986</v>
      </c>
      <c r="E103" s="798">
        <f t="shared" si="76"/>
        <v>26.484830705421956</v>
      </c>
      <c r="F103" s="799">
        <v>1.6556404717462951</v>
      </c>
      <c r="G103" s="800">
        <v>3.0809211404584556</v>
      </c>
      <c r="H103" s="801">
        <v>21.748269093217203</v>
      </c>
      <c r="I103" s="798">
        <f t="shared" si="73"/>
        <v>63.461090413357887</v>
      </c>
      <c r="J103" s="799">
        <v>31.765519618414213</v>
      </c>
      <c r="K103" s="800">
        <v>20.774689234994863</v>
      </c>
      <c r="L103" s="801">
        <v>10.92088155994881</v>
      </c>
      <c r="M103" s="802">
        <v>9.6210542338051095</v>
      </c>
      <c r="N103" s="792">
        <f t="shared" si="74"/>
        <v>2.7971147677079079E-2</v>
      </c>
      <c r="O103" s="800">
        <v>2.7971147677079079E-2</v>
      </c>
      <c r="P103" s="803">
        <v>0</v>
      </c>
      <c r="Q103" s="804">
        <v>0.40505349973796229</v>
      </c>
      <c r="R103" s="128" t="s">
        <v>634</v>
      </c>
    </row>
    <row r="104" spans="1:18" ht="26">
      <c r="A104" s="618" t="s">
        <v>1399</v>
      </c>
      <c r="B104" s="805" t="s">
        <v>485</v>
      </c>
      <c r="C104" s="796" t="s">
        <v>1400</v>
      </c>
      <c r="D104" s="797">
        <f t="shared" si="72"/>
        <v>99.999999999999986</v>
      </c>
      <c r="E104" s="798">
        <f t="shared" si="76"/>
        <v>26.484830705421956</v>
      </c>
      <c r="F104" s="799">
        <v>1.6556404717462951</v>
      </c>
      <c r="G104" s="800">
        <v>3.0809211404584556</v>
      </c>
      <c r="H104" s="801">
        <v>21.748269093217203</v>
      </c>
      <c r="I104" s="798">
        <f t="shared" si="73"/>
        <v>63.461090413357887</v>
      </c>
      <c r="J104" s="799">
        <v>31.765519618414213</v>
      </c>
      <c r="K104" s="800">
        <v>20.774689234994863</v>
      </c>
      <c r="L104" s="801">
        <v>10.92088155994881</v>
      </c>
      <c r="M104" s="802">
        <v>9.6210542338051095</v>
      </c>
      <c r="N104" s="792">
        <f t="shared" si="74"/>
        <v>2.7971147677079079E-2</v>
      </c>
      <c r="O104" s="800">
        <v>2.7971147677079079E-2</v>
      </c>
      <c r="P104" s="803">
        <v>0</v>
      </c>
      <c r="Q104" s="804">
        <v>0.40505349973796229</v>
      </c>
      <c r="R104" s="128" t="s">
        <v>635</v>
      </c>
    </row>
    <row r="105" spans="1:18" ht="26">
      <c r="A105" s="618" t="s">
        <v>1401</v>
      </c>
      <c r="B105" s="805" t="s">
        <v>487</v>
      </c>
      <c r="C105" s="796" t="s">
        <v>1402</v>
      </c>
      <c r="D105" s="797">
        <f t="shared" si="72"/>
        <v>99.999999999999986</v>
      </c>
      <c r="E105" s="798">
        <f t="shared" si="76"/>
        <v>26.484830705421956</v>
      </c>
      <c r="F105" s="799">
        <v>1.6556404717462951</v>
      </c>
      <c r="G105" s="800">
        <v>3.0809211404584556</v>
      </c>
      <c r="H105" s="801">
        <v>21.748269093217203</v>
      </c>
      <c r="I105" s="798">
        <f t="shared" si="73"/>
        <v>63.461090413357887</v>
      </c>
      <c r="J105" s="799">
        <v>31.765519618414213</v>
      </c>
      <c r="K105" s="800">
        <v>20.774689234994863</v>
      </c>
      <c r="L105" s="801">
        <v>10.92088155994881</v>
      </c>
      <c r="M105" s="802">
        <v>9.6210542338051095</v>
      </c>
      <c r="N105" s="792">
        <f t="shared" si="74"/>
        <v>2.7971147677079079E-2</v>
      </c>
      <c r="O105" s="800">
        <v>2.7971147677079079E-2</v>
      </c>
      <c r="P105" s="803">
        <v>0</v>
      </c>
      <c r="Q105" s="804">
        <v>0.40505349973796229</v>
      </c>
      <c r="R105" s="128" t="s">
        <v>636</v>
      </c>
    </row>
    <row r="106" spans="1:18" ht="26">
      <c r="A106" s="618" t="s">
        <v>1403</v>
      </c>
      <c r="B106" s="805" t="s">
        <v>637</v>
      </c>
      <c r="C106" s="796" t="s">
        <v>1404</v>
      </c>
      <c r="D106" s="797">
        <f t="shared" si="72"/>
        <v>99.999999999999986</v>
      </c>
      <c r="E106" s="798">
        <f t="shared" si="76"/>
        <v>26.484830705421956</v>
      </c>
      <c r="F106" s="799">
        <v>1.6556404717462951</v>
      </c>
      <c r="G106" s="800">
        <v>3.0809211404584556</v>
      </c>
      <c r="H106" s="801">
        <v>21.748269093217203</v>
      </c>
      <c r="I106" s="798">
        <f t="shared" si="73"/>
        <v>63.461090413357887</v>
      </c>
      <c r="J106" s="799">
        <v>31.765519618414213</v>
      </c>
      <c r="K106" s="800">
        <v>20.774689234994863</v>
      </c>
      <c r="L106" s="801">
        <v>10.92088155994881</v>
      </c>
      <c r="M106" s="802">
        <v>9.6210542338051095</v>
      </c>
      <c r="N106" s="792">
        <f t="shared" si="74"/>
        <v>2.7971147677079079E-2</v>
      </c>
      <c r="O106" s="800">
        <v>2.7971147677079079E-2</v>
      </c>
      <c r="P106" s="803">
        <v>0</v>
      </c>
      <c r="Q106" s="804">
        <v>0.40505349973796229</v>
      </c>
      <c r="R106" s="128" t="s">
        <v>638</v>
      </c>
    </row>
    <row r="107" spans="1:18" ht="26">
      <c r="A107" s="618" t="s">
        <v>1405</v>
      </c>
      <c r="B107" s="805" t="s">
        <v>639</v>
      </c>
      <c r="C107" s="796" t="s">
        <v>1406</v>
      </c>
      <c r="D107" s="797">
        <f t="shared" si="72"/>
        <v>99.999999999999986</v>
      </c>
      <c r="E107" s="798">
        <f t="shared" si="76"/>
        <v>26.484830705421956</v>
      </c>
      <c r="F107" s="799">
        <v>1.6556404717462951</v>
      </c>
      <c r="G107" s="800">
        <v>3.0809211404584556</v>
      </c>
      <c r="H107" s="801">
        <v>21.748269093217203</v>
      </c>
      <c r="I107" s="798">
        <f t="shared" si="73"/>
        <v>63.461090413357887</v>
      </c>
      <c r="J107" s="799">
        <v>31.765519618414213</v>
      </c>
      <c r="K107" s="800">
        <v>20.774689234994863</v>
      </c>
      <c r="L107" s="801">
        <v>10.92088155994881</v>
      </c>
      <c r="M107" s="802">
        <v>9.6210542338051095</v>
      </c>
      <c r="N107" s="792">
        <f t="shared" si="74"/>
        <v>2.7971147677079079E-2</v>
      </c>
      <c r="O107" s="800">
        <v>2.7971147677079079E-2</v>
      </c>
      <c r="P107" s="803">
        <v>0</v>
      </c>
      <c r="Q107" s="804">
        <v>0.40505349973796229</v>
      </c>
      <c r="R107" s="128" t="s">
        <v>640</v>
      </c>
    </row>
    <row r="108" spans="1:18" ht="26">
      <c r="A108" s="618" t="s">
        <v>1407</v>
      </c>
      <c r="B108" s="805" t="s">
        <v>641</v>
      </c>
      <c r="C108" s="796" t="s">
        <v>1408</v>
      </c>
      <c r="D108" s="797">
        <f t="shared" si="72"/>
        <v>99.999999999999986</v>
      </c>
      <c r="E108" s="798">
        <f t="shared" si="76"/>
        <v>26.484830705421956</v>
      </c>
      <c r="F108" s="799">
        <v>1.6556404717462951</v>
      </c>
      <c r="G108" s="800">
        <v>3.0809211404584556</v>
      </c>
      <c r="H108" s="801">
        <v>21.748269093217203</v>
      </c>
      <c r="I108" s="798">
        <f t="shared" si="73"/>
        <v>63.461090413357887</v>
      </c>
      <c r="J108" s="799">
        <v>31.765519618414213</v>
      </c>
      <c r="K108" s="800">
        <v>20.774689234994863</v>
      </c>
      <c r="L108" s="801">
        <v>10.92088155994881</v>
      </c>
      <c r="M108" s="802">
        <v>9.6210542338051095</v>
      </c>
      <c r="N108" s="792">
        <f t="shared" si="74"/>
        <v>2.7971147677079079E-2</v>
      </c>
      <c r="O108" s="800">
        <v>2.7971147677079079E-2</v>
      </c>
      <c r="P108" s="803">
        <v>0</v>
      </c>
      <c r="Q108" s="804">
        <v>0.40505349973796229</v>
      </c>
      <c r="R108" s="128" t="s">
        <v>642</v>
      </c>
    </row>
    <row r="109" spans="1:18" ht="26">
      <c r="A109" s="618" t="s">
        <v>1409</v>
      </c>
      <c r="B109" s="805" t="s">
        <v>643</v>
      </c>
      <c r="C109" s="796" t="s">
        <v>1410</v>
      </c>
      <c r="D109" s="797">
        <f t="shared" si="72"/>
        <v>99.999999999999986</v>
      </c>
      <c r="E109" s="798">
        <f t="shared" si="76"/>
        <v>26.484830705421956</v>
      </c>
      <c r="F109" s="799">
        <v>1.6556404717462951</v>
      </c>
      <c r="G109" s="800">
        <v>3.0809211404584556</v>
      </c>
      <c r="H109" s="801">
        <v>21.748269093217203</v>
      </c>
      <c r="I109" s="798">
        <f t="shared" si="73"/>
        <v>63.461090413357887</v>
      </c>
      <c r="J109" s="799">
        <v>31.765519618414213</v>
      </c>
      <c r="K109" s="800">
        <v>20.774689234994863</v>
      </c>
      <c r="L109" s="801">
        <v>10.92088155994881</v>
      </c>
      <c r="M109" s="802">
        <v>9.6210542338051095</v>
      </c>
      <c r="N109" s="792">
        <f t="shared" si="74"/>
        <v>2.7971147677079079E-2</v>
      </c>
      <c r="O109" s="800">
        <v>2.7971147677079079E-2</v>
      </c>
      <c r="P109" s="803">
        <v>0</v>
      </c>
      <c r="Q109" s="804">
        <v>0.40505349973796229</v>
      </c>
      <c r="R109" s="128" t="s">
        <v>644</v>
      </c>
    </row>
    <row r="110" spans="1:18" ht="26">
      <c r="A110" s="618" t="s">
        <v>1411</v>
      </c>
      <c r="B110" s="805" t="s">
        <v>645</v>
      </c>
      <c r="C110" s="796" t="s">
        <v>1412</v>
      </c>
      <c r="D110" s="797">
        <f t="shared" si="72"/>
        <v>99.999999999999986</v>
      </c>
      <c r="E110" s="798">
        <f t="shared" si="76"/>
        <v>26.484830705421956</v>
      </c>
      <c r="F110" s="799">
        <v>1.6556404717462951</v>
      </c>
      <c r="G110" s="800">
        <v>3.0809211404584556</v>
      </c>
      <c r="H110" s="801">
        <v>21.748269093217203</v>
      </c>
      <c r="I110" s="798">
        <f t="shared" si="73"/>
        <v>63.461090413357887</v>
      </c>
      <c r="J110" s="799">
        <v>31.765519618414213</v>
      </c>
      <c r="K110" s="800">
        <v>20.774689234994863</v>
      </c>
      <c r="L110" s="801">
        <v>10.92088155994881</v>
      </c>
      <c r="M110" s="802">
        <v>9.6210542338051095</v>
      </c>
      <c r="N110" s="792">
        <f t="shared" si="74"/>
        <v>2.7971147677079079E-2</v>
      </c>
      <c r="O110" s="800">
        <v>2.7971147677079079E-2</v>
      </c>
      <c r="P110" s="803">
        <v>0</v>
      </c>
      <c r="Q110" s="804">
        <v>0.40505349973796229</v>
      </c>
      <c r="R110" s="128" t="s">
        <v>646</v>
      </c>
    </row>
    <row r="111" spans="1:18" ht="26">
      <c r="A111" s="618" t="s">
        <v>1413</v>
      </c>
      <c r="B111" s="805" t="s">
        <v>647</v>
      </c>
      <c r="C111" s="796" t="s">
        <v>1414</v>
      </c>
      <c r="D111" s="797">
        <f t="shared" si="72"/>
        <v>99.999999999999986</v>
      </c>
      <c r="E111" s="798">
        <f t="shared" si="76"/>
        <v>26.484830705421956</v>
      </c>
      <c r="F111" s="799">
        <v>1.6556404717462951</v>
      </c>
      <c r="G111" s="800">
        <v>3.0809211404584556</v>
      </c>
      <c r="H111" s="801">
        <v>21.748269093217203</v>
      </c>
      <c r="I111" s="798">
        <f t="shared" si="73"/>
        <v>63.461090413357887</v>
      </c>
      <c r="J111" s="799">
        <v>31.765519618414213</v>
      </c>
      <c r="K111" s="800">
        <v>20.774689234994863</v>
      </c>
      <c r="L111" s="801">
        <v>10.92088155994881</v>
      </c>
      <c r="M111" s="802">
        <v>9.6210542338051095</v>
      </c>
      <c r="N111" s="792">
        <f t="shared" si="74"/>
        <v>2.7971147677079079E-2</v>
      </c>
      <c r="O111" s="800">
        <v>2.7971147677079079E-2</v>
      </c>
      <c r="P111" s="803">
        <v>0</v>
      </c>
      <c r="Q111" s="804">
        <v>0.40505349973796229</v>
      </c>
      <c r="R111" s="128" t="s">
        <v>648</v>
      </c>
    </row>
    <row r="112" spans="1:18" ht="26">
      <c r="A112" s="618" t="s">
        <v>1415</v>
      </c>
      <c r="B112" s="805" t="s">
        <v>649</v>
      </c>
      <c r="C112" s="796" t="s">
        <v>1416</v>
      </c>
      <c r="D112" s="797">
        <f t="shared" si="72"/>
        <v>99.999999999999986</v>
      </c>
      <c r="E112" s="798">
        <f t="shared" si="76"/>
        <v>26.484830705421956</v>
      </c>
      <c r="F112" s="799">
        <v>1.6556404717462951</v>
      </c>
      <c r="G112" s="800">
        <v>3.0809211404584556</v>
      </c>
      <c r="H112" s="801">
        <v>21.748269093217203</v>
      </c>
      <c r="I112" s="798">
        <f t="shared" si="73"/>
        <v>63.461090413357887</v>
      </c>
      <c r="J112" s="799">
        <v>31.765519618414213</v>
      </c>
      <c r="K112" s="800">
        <v>20.774689234994863</v>
      </c>
      <c r="L112" s="801">
        <v>10.92088155994881</v>
      </c>
      <c r="M112" s="802">
        <v>9.6210542338051095</v>
      </c>
      <c r="N112" s="792">
        <f t="shared" si="74"/>
        <v>2.7971147677079079E-2</v>
      </c>
      <c r="O112" s="800">
        <v>2.7971147677079079E-2</v>
      </c>
      <c r="P112" s="803">
        <v>0</v>
      </c>
      <c r="Q112" s="804">
        <v>0.40505349973796229</v>
      </c>
      <c r="R112" s="128" t="s">
        <v>650</v>
      </c>
    </row>
    <row r="113" spans="1:21" ht="26">
      <c r="A113" s="618" t="s">
        <v>1417</v>
      </c>
      <c r="B113" s="795" t="s">
        <v>651</v>
      </c>
      <c r="C113" s="796" t="s">
        <v>1418</v>
      </c>
      <c r="D113" s="797">
        <f t="shared" si="72"/>
        <v>99.999999999999986</v>
      </c>
      <c r="E113" s="798">
        <f t="shared" si="75"/>
        <v>26.484830705421956</v>
      </c>
      <c r="F113" s="799">
        <v>1.6556404717462951</v>
      </c>
      <c r="G113" s="800">
        <v>3.0809211404584556</v>
      </c>
      <c r="H113" s="801">
        <v>21.748269093217203</v>
      </c>
      <c r="I113" s="798">
        <f t="shared" si="73"/>
        <v>63.461090413357887</v>
      </c>
      <c r="J113" s="799">
        <v>31.765519618414213</v>
      </c>
      <c r="K113" s="800">
        <v>20.774689234994863</v>
      </c>
      <c r="L113" s="801">
        <v>10.92088155994881</v>
      </c>
      <c r="M113" s="802">
        <v>9.6210542338051095</v>
      </c>
      <c r="N113" s="792">
        <f t="shared" si="74"/>
        <v>2.7971147677079079E-2</v>
      </c>
      <c r="O113" s="800">
        <v>2.7971147677079079E-2</v>
      </c>
      <c r="P113" s="803">
        <v>0</v>
      </c>
      <c r="Q113" s="804">
        <v>0.40505349973796229</v>
      </c>
      <c r="R113" s="128" t="s">
        <v>652</v>
      </c>
    </row>
    <row r="114" spans="1:21" ht="26">
      <c r="A114" s="618" t="s">
        <v>1419</v>
      </c>
      <c r="B114" s="805" t="s">
        <v>653</v>
      </c>
      <c r="C114" s="806" t="s">
        <v>1420</v>
      </c>
      <c r="D114" s="807">
        <f t="shared" si="72"/>
        <v>99.999999999999986</v>
      </c>
      <c r="E114" s="808">
        <f t="shared" si="75"/>
        <v>26.484830705421956</v>
      </c>
      <c r="F114" s="809">
        <v>1.6556404717462951</v>
      </c>
      <c r="G114" s="810">
        <v>3.0809211404584556</v>
      </c>
      <c r="H114" s="811">
        <v>21.748269093217203</v>
      </c>
      <c r="I114" s="808">
        <f t="shared" si="73"/>
        <v>63.461090413357887</v>
      </c>
      <c r="J114" s="809">
        <v>31.765519618414213</v>
      </c>
      <c r="K114" s="810">
        <v>20.774689234994863</v>
      </c>
      <c r="L114" s="811">
        <v>10.92088155994881</v>
      </c>
      <c r="M114" s="812">
        <v>9.6210542338051095</v>
      </c>
      <c r="N114" s="792">
        <f t="shared" si="74"/>
        <v>2.7971147677079079E-2</v>
      </c>
      <c r="O114" s="810">
        <v>2.7971147677079079E-2</v>
      </c>
      <c r="P114" s="813">
        <v>0</v>
      </c>
      <c r="Q114" s="814">
        <v>0.40505349973796229</v>
      </c>
      <c r="R114" s="128" t="s">
        <v>654</v>
      </c>
    </row>
    <row r="115" spans="1:21" ht="26.5" thickBot="1">
      <c r="A115" s="618" t="s">
        <v>1421</v>
      </c>
      <c r="B115" s="815" t="s">
        <v>655</v>
      </c>
      <c r="C115" s="816" t="s">
        <v>1422</v>
      </c>
      <c r="D115" s="817">
        <f t="shared" si="72"/>
        <v>99.999999999999986</v>
      </c>
      <c r="E115" s="818">
        <f t="shared" si="75"/>
        <v>26.484830705421956</v>
      </c>
      <c r="F115" s="819">
        <v>1.6556404717462951</v>
      </c>
      <c r="G115" s="820">
        <v>3.0809211404584556</v>
      </c>
      <c r="H115" s="821">
        <v>21.748269093217203</v>
      </c>
      <c r="I115" s="818">
        <f t="shared" si="73"/>
        <v>63.461090413357887</v>
      </c>
      <c r="J115" s="819">
        <v>31.765519618414213</v>
      </c>
      <c r="K115" s="820">
        <v>20.774689234994863</v>
      </c>
      <c r="L115" s="821">
        <v>10.92088155994881</v>
      </c>
      <c r="M115" s="822">
        <v>9.6210542338051095</v>
      </c>
      <c r="N115" s="792">
        <f t="shared" si="74"/>
        <v>2.7971147677079079E-2</v>
      </c>
      <c r="O115" s="820">
        <v>2.7971147677079079E-2</v>
      </c>
      <c r="P115" s="823">
        <v>0</v>
      </c>
      <c r="Q115" s="824">
        <v>0.40505349973796229</v>
      </c>
      <c r="R115" s="128" t="s">
        <v>656</v>
      </c>
    </row>
    <row r="116" spans="1:21" ht="15.5" thickTop="1" thickBot="1">
      <c r="A116" s="618" t="s">
        <v>657</v>
      </c>
      <c r="B116" s="634" t="s">
        <v>489</v>
      </c>
      <c r="C116" s="634" t="s">
        <v>658</v>
      </c>
      <c r="D116" s="825">
        <f>D117+D121+D128+D130+D136+D139</f>
        <v>261.37486000000001</v>
      </c>
      <c r="E116" s="826">
        <f t="shared" ref="E116:Q116" si="77">E117+E121+E128+E130+E136+E139</f>
        <v>82.084476206771313</v>
      </c>
      <c r="F116" s="827">
        <f t="shared" si="77"/>
        <v>12.204336629575446</v>
      </c>
      <c r="G116" s="828">
        <f t="shared" si="77"/>
        <v>9.544702674396035</v>
      </c>
      <c r="H116" s="829">
        <f t="shared" si="77"/>
        <v>60.335436902799849</v>
      </c>
      <c r="I116" s="826">
        <f t="shared" si="77"/>
        <v>153.19105940092183</v>
      </c>
      <c r="J116" s="827">
        <f t="shared" si="77"/>
        <v>72.90663012451607</v>
      </c>
      <c r="K116" s="828">
        <f t="shared" si="77"/>
        <v>56.056822207396117</v>
      </c>
      <c r="L116" s="829">
        <f t="shared" si="77"/>
        <v>24.22760706900965</v>
      </c>
      <c r="M116" s="826">
        <f t="shared" si="77"/>
        <v>12.169684818377291</v>
      </c>
      <c r="N116" s="830">
        <f t="shared" si="74"/>
        <v>11.457052088791537</v>
      </c>
      <c r="O116" s="828">
        <f>O117+O121+O128+O130+O136+O139</f>
        <v>11.457052088791537</v>
      </c>
      <c r="P116" s="831">
        <f t="shared" si="77"/>
        <v>0</v>
      </c>
      <c r="Q116" s="832">
        <f t="shared" si="77"/>
        <v>2.4725874851380145</v>
      </c>
    </row>
    <row r="117" spans="1:21" ht="15" thickTop="1">
      <c r="A117" s="618"/>
      <c r="B117" s="643" t="s">
        <v>491</v>
      </c>
      <c r="C117" s="644" t="s">
        <v>6</v>
      </c>
      <c r="D117" s="786">
        <f>SUM(D118:D120)</f>
        <v>0.98699999999999999</v>
      </c>
      <c r="E117" s="833">
        <f>SUM(F117:H117)</f>
        <v>0.30996622252072481</v>
      </c>
      <c r="F117" s="834">
        <f>SUM(F118:F120)</f>
        <v>4.6085841053691866E-2</v>
      </c>
      <c r="G117" s="835">
        <f>SUM(G118:G120)</f>
        <v>3.6042569433146279E-2</v>
      </c>
      <c r="H117" s="836">
        <f>SUM(H118:H120)</f>
        <v>0.22783781203388664</v>
      </c>
      <c r="I117" s="833">
        <f t="shared" ref="I117:I142" si="78">SUM(J117:L117)</f>
        <v>0.57847788279526902</v>
      </c>
      <c r="J117" s="834">
        <f t="shared" ref="J117:Q117" si="79">SUM(J118:J120)</f>
        <v>0.27530897169260027</v>
      </c>
      <c r="K117" s="835">
        <f t="shared" si="79"/>
        <v>0.21168096854724272</v>
      </c>
      <c r="L117" s="836">
        <f t="shared" si="79"/>
        <v>9.1487942555426055E-2</v>
      </c>
      <c r="M117" s="833">
        <f t="shared" si="79"/>
        <v>4.5954989380915912E-2</v>
      </c>
      <c r="N117" s="837">
        <f t="shared" si="74"/>
        <v>4.3263955881744892E-2</v>
      </c>
      <c r="O117" s="835">
        <f>SUM(O118:O120)</f>
        <v>4.3263955881744892E-2</v>
      </c>
      <c r="P117" s="838">
        <f t="shared" si="79"/>
        <v>0</v>
      </c>
      <c r="Q117" s="839">
        <f t="shared" si="79"/>
        <v>9.3369494213453429E-3</v>
      </c>
    </row>
    <row r="118" spans="1:21">
      <c r="A118" s="618"/>
      <c r="B118" s="652" t="s">
        <v>492</v>
      </c>
      <c r="C118" s="653" t="s">
        <v>8</v>
      </c>
      <c r="D118" s="840">
        <v>8.6999999999999994E-2</v>
      </c>
      <c r="E118" s="841">
        <f>SUM(F118:H118)</f>
        <v>2.7322250617328323E-2</v>
      </c>
      <c r="F118" s="842">
        <f t="shared" ref="F118:H120" si="80">IFERROR($D118*F144/100, 0)</f>
        <v>4.062277782848219E-3</v>
      </c>
      <c r="G118" s="843">
        <f t="shared" si="80"/>
        <v>3.1770046004900971E-3</v>
      </c>
      <c r="H118" s="844">
        <f t="shared" si="80"/>
        <v>2.0082968233990008E-2</v>
      </c>
      <c r="I118" s="841">
        <f t="shared" si="78"/>
        <v>5.0990451674962925E-2</v>
      </c>
      <c r="J118" s="842">
        <f t="shared" ref="J118:M120" si="81">IFERROR($D118*J144/100, 0)</f>
        <v>2.4267356167432849E-2</v>
      </c>
      <c r="K118" s="843">
        <f t="shared" si="81"/>
        <v>1.8658808777720484E-2</v>
      </c>
      <c r="L118" s="844">
        <f t="shared" si="81"/>
        <v>8.0642867298095899E-3</v>
      </c>
      <c r="M118" s="841">
        <f t="shared" si="81"/>
        <v>4.0507437448223755E-3</v>
      </c>
      <c r="N118" s="845">
        <f t="shared" si="74"/>
        <v>3.8135401841051732E-3</v>
      </c>
      <c r="O118" s="843">
        <f t="shared" ref="O118:Q120" si="82">IFERROR($D118*O144/100, 0)</f>
        <v>3.8135401841051732E-3</v>
      </c>
      <c r="P118" s="846">
        <f t="shared" si="82"/>
        <v>0</v>
      </c>
      <c r="Q118" s="847">
        <f t="shared" si="82"/>
        <v>8.2301377878120049E-4</v>
      </c>
      <c r="R118" s="128" t="s">
        <v>1381</v>
      </c>
    </row>
    <row r="119" spans="1:21">
      <c r="A119" s="618"/>
      <c r="B119" s="652" t="s">
        <v>659</v>
      </c>
      <c r="C119" s="653" t="s">
        <v>9</v>
      </c>
      <c r="D119" s="840">
        <v>0.9</v>
      </c>
      <c r="E119" s="841">
        <f t="shared" ref="E119:E138" si="83">SUM(F119:H119)</f>
        <v>0.28264397190339646</v>
      </c>
      <c r="F119" s="842">
        <f t="shared" si="80"/>
        <v>4.2023563270843646E-2</v>
      </c>
      <c r="G119" s="843">
        <f t="shared" si="80"/>
        <v>3.286556483265618E-2</v>
      </c>
      <c r="H119" s="844">
        <f t="shared" si="80"/>
        <v>0.20775484379989664</v>
      </c>
      <c r="I119" s="841">
        <f t="shared" si="78"/>
        <v>0.52748743112030616</v>
      </c>
      <c r="J119" s="842">
        <f t="shared" si="81"/>
        <v>0.25104161552516741</v>
      </c>
      <c r="K119" s="843">
        <f t="shared" si="81"/>
        <v>0.19302215976952225</v>
      </c>
      <c r="L119" s="844">
        <f t="shared" si="81"/>
        <v>8.3423655825616463E-2</v>
      </c>
      <c r="M119" s="841">
        <f t="shared" si="81"/>
        <v>4.1904245636093539E-2</v>
      </c>
      <c r="N119" s="845">
        <f t="shared" si="74"/>
        <v>3.9450415697639719E-2</v>
      </c>
      <c r="O119" s="843">
        <f t="shared" si="82"/>
        <v>3.9450415697639719E-2</v>
      </c>
      <c r="P119" s="846">
        <f t="shared" si="82"/>
        <v>0</v>
      </c>
      <c r="Q119" s="847">
        <f t="shared" si="82"/>
        <v>8.5139356425641428E-3</v>
      </c>
      <c r="R119" s="128" t="s">
        <v>1383</v>
      </c>
    </row>
    <row r="120" spans="1:21">
      <c r="A120" s="618"/>
      <c r="B120" s="652" t="s">
        <v>660</v>
      </c>
      <c r="C120" s="653" t="s">
        <v>11</v>
      </c>
      <c r="D120" s="840">
        <v>0</v>
      </c>
      <c r="E120" s="841">
        <f t="shared" si="83"/>
        <v>0</v>
      </c>
      <c r="F120" s="842">
        <f t="shared" si="80"/>
        <v>0</v>
      </c>
      <c r="G120" s="843">
        <f t="shared" si="80"/>
        <v>0</v>
      </c>
      <c r="H120" s="844">
        <f t="shared" si="80"/>
        <v>0</v>
      </c>
      <c r="I120" s="841">
        <f t="shared" si="78"/>
        <v>0</v>
      </c>
      <c r="J120" s="842">
        <f t="shared" si="81"/>
        <v>0</v>
      </c>
      <c r="K120" s="843">
        <f t="shared" si="81"/>
        <v>0</v>
      </c>
      <c r="L120" s="844">
        <f t="shared" si="81"/>
        <v>0</v>
      </c>
      <c r="M120" s="841">
        <f t="shared" si="81"/>
        <v>0</v>
      </c>
      <c r="N120" s="845">
        <f t="shared" si="74"/>
        <v>0</v>
      </c>
      <c r="O120" s="843">
        <f t="shared" si="82"/>
        <v>0</v>
      </c>
      <c r="P120" s="846">
        <f t="shared" si="82"/>
        <v>0</v>
      </c>
      <c r="Q120" s="847">
        <f t="shared" si="82"/>
        <v>0</v>
      </c>
      <c r="R120" s="128" t="s">
        <v>1385</v>
      </c>
    </row>
    <row r="121" spans="1:21">
      <c r="A121" s="618"/>
      <c r="B121" s="643" t="s">
        <v>149</v>
      </c>
      <c r="C121" s="660" t="s">
        <v>13</v>
      </c>
      <c r="D121" s="786">
        <f>SUM(D122:D127)</f>
        <v>236.4503</v>
      </c>
      <c r="E121" s="833">
        <f t="shared" si="83"/>
        <v>74.256946610832969</v>
      </c>
      <c r="F121" s="834">
        <f>SUM(F122:F127)</f>
        <v>11.040537936066624</v>
      </c>
      <c r="G121" s="835">
        <f>SUM(G122:G127)</f>
        <v>8.6345251826122258</v>
      </c>
      <c r="H121" s="836">
        <f>SUM(H122:H127)</f>
        <v>54.58188349215412</v>
      </c>
      <c r="I121" s="833">
        <f t="shared" si="78"/>
        <v>138.58284592736192</v>
      </c>
      <c r="J121" s="834">
        <f t="shared" ref="J121:Q121" si="84">SUM(J122:J127)</f>
        <v>65.954294781567214</v>
      </c>
      <c r="K121" s="835">
        <f t="shared" si="84"/>
        <v>50.711275093501627</v>
      </c>
      <c r="L121" s="836">
        <f t="shared" si="84"/>
        <v>21.917276052293065</v>
      </c>
      <c r="M121" s="833">
        <f t="shared" si="84"/>
        <v>11.009190502142232</v>
      </c>
      <c r="N121" s="837">
        <f t="shared" si="74"/>
        <v>10.364514029812913</v>
      </c>
      <c r="O121" s="835">
        <f>SUM(O122:O127)</f>
        <v>10.364514029812913</v>
      </c>
      <c r="P121" s="838">
        <f t="shared" si="84"/>
        <v>0</v>
      </c>
      <c r="Q121" s="839">
        <f t="shared" si="84"/>
        <v>2.2368029298499827</v>
      </c>
    </row>
    <row r="122" spans="1:21">
      <c r="A122" s="618"/>
      <c r="B122" s="652" t="s">
        <v>493</v>
      </c>
      <c r="C122" s="653" t="s">
        <v>15</v>
      </c>
      <c r="D122" s="840">
        <v>208.02519000000001</v>
      </c>
      <c r="E122" s="841">
        <f t="shared" si="83"/>
        <v>65.330073286176344</v>
      </c>
      <c r="F122" s="842">
        <f t="shared" ref="F122:H127" si="85">IFERROR($D122*F147/100, 0)</f>
        <v>9.7132885932158572</v>
      </c>
      <c r="G122" s="843">
        <f t="shared" si="85"/>
        <v>7.5965170764118</v>
      </c>
      <c r="H122" s="844">
        <f t="shared" si="85"/>
        <v>48.020267616548693</v>
      </c>
      <c r="I122" s="841">
        <f t="shared" si="78"/>
        <v>121.92297009045954</v>
      </c>
      <c r="J122" s="842">
        <f t="shared" ref="J122:Q127" si="86">IFERROR($D122*J147/100, 0)</f>
        <v>58.025533075033223</v>
      </c>
      <c r="K122" s="843">
        <f t="shared" si="86"/>
        <v>44.614968289183579</v>
      </c>
      <c r="L122" s="844">
        <f t="shared" si="86"/>
        <v>19.282468726242744</v>
      </c>
      <c r="M122" s="841">
        <f t="shared" si="86"/>
        <v>9.6857096225055894</v>
      </c>
      <c r="N122" s="845">
        <f t="shared" si="74"/>
        <v>9.1185335789783171</v>
      </c>
      <c r="O122" s="843">
        <f t="shared" ref="O122:Q126" si="87">IFERROR($D122*O147/100, 0)</f>
        <v>9.1185335789783171</v>
      </c>
      <c r="P122" s="846">
        <f t="shared" si="87"/>
        <v>0</v>
      </c>
      <c r="Q122" s="847">
        <f t="shared" si="87"/>
        <v>1.9679034218801978</v>
      </c>
      <c r="R122" s="128" t="s">
        <v>1387</v>
      </c>
    </row>
    <row r="123" spans="1:21">
      <c r="A123" s="618"/>
      <c r="B123" s="652" t="s">
        <v>494</v>
      </c>
      <c r="C123" s="653" t="s">
        <v>593</v>
      </c>
      <c r="D123" s="840">
        <v>28.42511</v>
      </c>
      <c r="E123" s="841">
        <f t="shared" si="83"/>
        <v>8.926873324656615</v>
      </c>
      <c r="F123" s="842">
        <f t="shared" si="85"/>
        <v>1.3272493428507672</v>
      </c>
      <c r="G123" s="843">
        <f t="shared" si="85"/>
        <v>1.0380081062004261</v>
      </c>
      <c r="H123" s="844">
        <f t="shared" si="85"/>
        <v>6.5616158756054226</v>
      </c>
      <c r="I123" s="841">
        <f t="shared" si="78"/>
        <v>16.659875836902362</v>
      </c>
      <c r="J123" s="842">
        <f t="shared" si="86"/>
        <v>7.928761706533991</v>
      </c>
      <c r="K123" s="843">
        <f t="shared" si="86"/>
        <v>6.0963068043180497</v>
      </c>
      <c r="L123" s="844">
        <f t="shared" si="86"/>
        <v>2.6348073260503209</v>
      </c>
      <c r="M123" s="841">
        <f t="shared" si="86"/>
        <v>1.3234808796366431</v>
      </c>
      <c r="N123" s="845">
        <f t="shared" si="74"/>
        <v>1.2459804508345953</v>
      </c>
      <c r="O123" s="843">
        <f t="shared" si="87"/>
        <v>1.2459804508345953</v>
      </c>
      <c r="P123" s="846">
        <f t="shared" si="87"/>
        <v>0</v>
      </c>
      <c r="Q123" s="847">
        <f t="shared" si="87"/>
        <v>0.2688995079697849</v>
      </c>
      <c r="R123" s="729" t="s">
        <v>1389</v>
      </c>
      <c r="S123" s="729" t="s">
        <v>1391</v>
      </c>
      <c r="T123" s="729" t="s">
        <v>1393</v>
      </c>
      <c r="U123" s="729" t="s">
        <v>1395</v>
      </c>
    </row>
    <row r="124" spans="1:21">
      <c r="A124" s="618"/>
      <c r="B124" s="652" t="s">
        <v>661</v>
      </c>
      <c r="C124" s="653" t="s">
        <v>21</v>
      </c>
      <c r="D124" s="840">
        <v>0</v>
      </c>
      <c r="E124" s="841">
        <f t="shared" si="83"/>
        <v>0</v>
      </c>
      <c r="F124" s="842">
        <f t="shared" si="85"/>
        <v>0</v>
      </c>
      <c r="G124" s="843">
        <f t="shared" si="85"/>
        <v>0</v>
      </c>
      <c r="H124" s="844">
        <f t="shared" si="85"/>
        <v>0</v>
      </c>
      <c r="I124" s="841">
        <f t="shared" si="78"/>
        <v>0</v>
      </c>
      <c r="J124" s="842">
        <f t="shared" si="86"/>
        <v>0</v>
      </c>
      <c r="K124" s="843">
        <f t="shared" si="86"/>
        <v>0</v>
      </c>
      <c r="L124" s="844">
        <f t="shared" si="86"/>
        <v>0</v>
      </c>
      <c r="M124" s="841">
        <f t="shared" si="86"/>
        <v>0</v>
      </c>
      <c r="N124" s="845">
        <f t="shared" si="74"/>
        <v>0</v>
      </c>
      <c r="O124" s="843">
        <f t="shared" si="87"/>
        <v>0</v>
      </c>
      <c r="P124" s="846">
        <f t="shared" si="87"/>
        <v>0</v>
      </c>
      <c r="Q124" s="847">
        <f t="shared" si="87"/>
        <v>0</v>
      </c>
      <c r="R124" s="729" t="s">
        <v>1397</v>
      </c>
    </row>
    <row r="125" spans="1:21">
      <c r="A125" s="618"/>
      <c r="B125" s="652" t="s">
        <v>662</v>
      </c>
      <c r="C125" s="653" t="s">
        <v>23</v>
      </c>
      <c r="D125" s="840">
        <v>0</v>
      </c>
      <c r="E125" s="841">
        <f t="shared" si="83"/>
        <v>0</v>
      </c>
      <c r="F125" s="842">
        <f t="shared" si="85"/>
        <v>0</v>
      </c>
      <c r="G125" s="843">
        <f t="shared" si="85"/>
        <v>0</v>
      </c>
      <c r="H125" s="844">
        <f t="shared" si="85"/>
        <v>0</v>
      </c>
      <c r="I125" s="841">
        <f t="shared" ref="I125:I126" si="88">SUM(J125:L125)</f>
        <v>0</v>
      </c>
      <c r="J125" s="842">
        <f t="shared" si="86"/>
        <v>0</v>
      </c>
      <c r="K125" s="843">
        <f t="shared" si="86"/>
        <v>0</v>
      </c>
      <c r="L125" s="844">
        <f t="shared" si="86"/>
        <v>0</v>
      </c>
      <c r="M125" s="841">
        <f t="shared" si="86"/>
        <v>0</v>
      </c>
      <c r="N125" s="845">
        <f t="shared" si="74"/>
        <v>0</v>
      </c>
      <c r="O125" s="843">
        <f t="shared" si="87"/>
        <v>0</v>
      </c>
      <c r="P125" s="846">
        <f t="shared" si="87"/>
        <v>0</v>
      </c>
      <c r="Q125" s="847">
        <f t="shared" si="87"/>
        <v>0</v>
      </c>
      <c r="R125" s="729" t="s">
        <v>1399</v>
      </c>
    </row>
    <row r="126" spans="1:21">
      <c r="A126" s="618"/>
      <c r="B126" s="652" t="s">
        <v>663</v>
      </c>
      <c r="C126" s="653" t="s">
        <v>25</v>
      </c>
      <c r="D126" s="840">
        <v>0</v>
      </c>
      <c r="E126" s="841">
        <f t="shared" si="83"/>
        <v>0</v>
      </c>
      <c r="F126" s="842">
        <f t="shared" si="85"/>
        <v>0</v>
      </c>
      <c r="G126" s="843">
        <f t="shared" si="85"/>
        <v>0</v>
      </c>
      <c r="H126" s="844">
        <f t="shared" si="85"/>
        <v>0</v>
      </c>
      <c r="I126" s="841">
        <f t="shared" si="88"/>
        <v>0</v>
      </c>
      <c r="J126" s="842">
        <f t="shared" si="86"/>
        <v>0</v>
      </c>
      <c r="K126" s="843">
        <f t="shared" si="86"/>
        <v>0</v>
      </c>
      <c r="L126" s="844">
        <f t="shared" si="86"/>
        <v>0</v>
      </c>
      <c r="M126" s="841">
        <f t="shared" si="86"/>
        <v>0</v>
      </c>
      <c r="N126" s="845">
        <f t="shared" si="74"/>
        <v>0</v>
      </c>
      <c r="O126" s="843">
        <f t="shared" si="87"/>
        <v>0</v>
      </c>
      <c r="P126" s="846">
        <f t="shared" si="87"/>
        <v>0</v>
      </c>
      <c r="Q126" s="847">
        <f t="shared" si="87"/>
        <v>0</v>
      </c>
      <c r="R126" s="729" t="s">
        <v>1401</v>
      </c>
    </row>
    <row r="127" spans="1:21">
      <c r="A127" s="618"/>
      <c r="B127" s="652" t="s">
        <v>664</v>
      </c>
      <c r="C127" s="653" t="s">
        <v>665</v>
      </c>
      <c r="D127" s="840">
        <v>0</v>
      </c>
      <c r="E127" s="841">
        <f t="shared" si="83"/>
        <v>0</v>
      </c>
      <c r="F127" s="842">
        <f t="shared" si="85"/>
        <v>0</v>
      </c>
      <c r="G127" s="843">
        <f t="shared" si="85"/>
        <v>0</v>
      </c>
      <c r="H127" s="844">
        <f t="shared" si="85"/>
        <v>0</v>
      </c>
      <c r="I127" s="841">
        <f t="shared" si="78"/>
        <v>0</v>
      </c>
      <c r="J127" s="842">
        <f t="shared" si="86"/>
        <v>0</v>
      </c>
      <c r="K127" s="843">
        <f t="shared" si="86"/>
        <v>0</v>
      </c>
      <c r="L127" s="844">
        <f t="shared" si="86"/>
        <v>0</v>
      </c>
      <c r="M127" s="841">
        <f t="shared" si="86"/>
        <v>0</v>
      </c>
      <c r="N127" s="845">
        <f t="shared" si="74"/>
        <v>0</v>
      </c>
      <c r="O127" s="843">
        <f>IFERROR($D127*O152/100, 0)</f>
        <v>0</v>
      </c>
      <c r="P127" s="846">
        <f t="shared" si="86"/>
        <v>0</v>
      </c>
      <c r="Q127" s="847">
        <f t="shared" si="86"/>
        <v>0</v>
      </c>
      <c r="R127" s="729" t="s">
        <v>1403</v>
      </c>
    </row>
    <row r="128" spans="1:21">
      <c r="A128" s="618"/>
      <c r="B128" s="643" t="s">
        <v>151</v>
      </c>
      <c r="C128" s="661" t="s">
        <v>29</v>
      </c>
      <c r="D128" s="786">
        <f>D129</f>
        <v>0</v>
      </c>
      <c r="E128" s="833">
        <f t="shared" si="83"/>
        <v>0</v>
      </c>
      <c r="F128" s="834">
        <f>F129</f>
        <v>0</v>
      </c>
      <c r="G128" s="835">
        <f>G129</f>
        <v>0</v>
      </c>
      <c r="H128" s="836">
        <f>H129</f>
        <v>0</v>
      </c>
      <c r="I128" s="833">
        <f t="shared" si="78"/>
        <v>0</v>
      </c>
      <c r="J128" s="834">
        <f t="shared" ref="J128:Q128" si="89">J129</f>
        <v>0</v>
      </c>
      <c r="K128" s="835">
        <f t="shared" si="89"/>
        <v>0</v>
      </c>
      <c r="L128" s="836">
        <f t="shared" si="89"/>
        <v>0</v>
      </c>
      <c r="M128" s="833">
        <f t="shared" si="89"/>
        <v>0</v>
      </c>
      <c r="N128" s="837">
        <f t="shared" si="74"/>
        <v>0</v>
      </c>
      <c r="O128" s="835">
        <f>O129</f>
        <v>0</v>
      </c>
      <c r="P128" s="838">
        <f t="shared" si="89"/>
        <v>0</v>
      </c>
      <c r="Q128" s="839">
        <f t="shared" si="89"/>
        <v>0</v>
      </c>
    </row>
    <row r="129" spans="1:18">
      <c r="A129" s="618"/>
      <c r="B129" s="652" t="s">
        <v>495</v>
      </c>
      <c r="C129" s="662" t="s">
        <v>666</v>
      </c>
      <c r="D129" s="840">
        <v>0</v>
      </c>
      <c r="E129" s="841">
        <f t="shared" si="83"/>
        <v>0</v>
      </c>
      <c r="F129" s="842">
        <f>IFERROR($D129*F153/100, 0)</f>
        <v>0</v>
      </c>
      <c r="G129" s="843">
        <f>IFERROR($D129*G153/100, 0)</f>
        <v>0</v>
      </c>
      <c r="H129" s="844">
        <f>IFERROR($D129*H153/100, 0)</f>
        <v>0</v>
      </c>
      <c r="I129" s="841">
        <f t="shared" si="78"/>
        <v>0</v>
      </c>
      <c r="J129" s="842">
        <f t="shared" ref="J129:Q129" si="90">IFERROR($D129*J153/100, 0)</f>
        <v>0</v>
      </c>
      <c r="K129" s="843">
        <f t="shared" si="90"/>
        <v>0</v>
      </c>
      <c r="L129" s="844">
        <f t="shared" si="90"/>
        <v>0</v>
      </c>
      <c r="M129" s="841">
        <f t="shared" si="90"/>
        <v>0</v>
      </c>
      <c r="N129" s="845">
        <f t="shared" si="74"/>
        <v>0</v>
      </c>
      <c r="O129" s="843">
        <f>IFERROR($D129*O153/100, 0)</f>
        <v>0</v>
      </c>
      <c r="P129" s="846">
        <f t="shared" si="90"/>
        <v>0</v>
      </c>
      <c r="Q129" s="847">
        <f t="shared" si="90"/>
        <v>0</v>
      </c>
      <c r="R129" s="729" t="s">
        <v>1405</v>
      </c>
    </row>
    <row r="130" spans="1:18">
      <c r="A130" s="618"/>
      <c r="B130" s="643" t="s">
        <v>153</v>
      </c>
      <c r="C130" s="661" t="s">
        <v>35</v>
      </c>
      <c r="D130" s="786">
        <f>D131+D135</f>
        <v>4.1973799999999999</v>
      </c>
      <c r="E130" s="833">
        <f t="shared" si="83"/>
        <v>1.3181823942087536</v>
      </c>
      <c r="F130" s="834">
        <f>F131+F135</f>
        <v>0.19598762666863745</v>
      </c>
      <c r="G130" s="835">
        <f>G131+G135</f>
        <v>0.15327696057477155</v>
      </c>
      <c r="H130" s="836">
        <f>H131+H135</f>
        <v>0.96891780696534457</v>
      </c>
      <c r="I130" s="833">
        <f t="shared" si="78"/>
        <v>2.4600724373730563</v>
      </c>
      <c r="J130" s="834">
        <f t="shared" ref="J130:Q130" si="91">J131+J135</f>
        <v>1.1707967290811414</v>
      </c>
      <c r="K130" s="835">
        <f t="shared" si="91"/>
        <v>0.90020816997044151</v>
      </c>
      <c r="L130" s="836">
        <f t="shared" si="91"/>
        <v>0.38906753832147328</v>
      </c>
      <c r="M130" s="833">
        <f t="shared" si="91"/>
        <v>0.19543115838669589</v>
      </c>
      <c r="N130" s="837">
        <f t="shared" si="74"/>
        <v>0.18398709537884336</v>
      </c>
      <c r="O130" s="835">
        <f>O131+O135</f>
        <v>0.18398709537884336</v>
      </c>
      <c r="P130" s="838">
        <f t="shared" si="91"/>
        <v>0</v>
      </c>
      <c r="Q130" s="839">
        <f t="shared" si="91"/>
        <v>3.9706914652650978E-2</v>
      </c>
      <c r="R130" s="729"/>
    </row>
    <row r="131" spans="1:18">
      <c r="A131" s="618"/>
      <c r="B131" s="652" t="s">
        <v>496</v>
      </c>
      <c r="C131" s="662" t="s">
        <v>37</v>
      </c>
      <c r="D131" s="840">
        <v>0</v>
      </c>
      <c r="E131" s="841">
        <f t="shared" si="83"/>
        <v>0</v>
      </c>
      <c r="F131" s="842">
        <f>IFERROR($D131*F154/100, 0)</f>
        <v>0</v>
      </c>
      <c r="G131" s="843">
        <f>IFERROR($D131*G154/100, 0)</f>
        <v>0</v>
      </c>
      <c r="H131" s="844">
        <f>IFERROR($D131*H154/100, 0)</f>
        <v>0</v>
      </c>
      <c r="I131" s="841">
        <f t="shared" si="78"/>
        <v>0</v>
      </c>
      <c r="J131" s="842">
        <f>IFERROR($D131*J154/100, 0)</f>
        <v>0</v>
      </c>
      <c r="K131" s="843">
        <f>IFERROR($D131*K154/100, 0)</f>
        <v>0</v>
      </c>
      <c r="L131" s="844">
        <f>IFERROR($D131*L154/100, 0)</f>
        <v>0</v>
      </c>
      <c r="M131" s="841">
        <f>IFERROR($D131*M154/100, 0)</f>
        <v>0</v>
      </c>
      <c r="N131" s="845">
        <f t="shared" si="74"/>
        <v>0</v>
      </c>
      <c r="O131" s="843">
        <f>IFERROR($D131*O154/100, 0)</f>
        <v>0</v>
      </c>
      <c r="P131" s="846">
        <f>IFERROR($D131*P154/100, 0)</f>
        <v>0</v>
      </c>
      <c r="Q131" s="847">
        <f>IFERROR($D131*Q154/100, 0)</f>
        <v>0</v>
      </c>
      <c r="R131" s="729" t="s">
        <v>1409</v>
      </c>
    </row>
    <row r="132" spans="1:18">
      <c r="A132" s="618"/>
      <c r="B132" s="652" t="s">
        <v>497</v>
      </c>
      <c r="C132" s="670" t="s">
        <v>40</v>
      </c>
      <c r="D132" s="840">
        <v>0</v>
      </c>
      <c r="E132" s="841">
        <f t="shared" si="83"/>
        <v>0</v>
      </c>
      <c r="F132" s="842">
        <f t="shared" ref="F132:H135" si="92">IFERROR($D132*F155/100, 0)</f>
        <v>0</v>
      </c>
      <c r="G132" s="843">
        <f t="shared" si="92"/>
        <v>0</v>
      </c>
      <c r="H132" s="844">
        <f t="shared" si="92"/>
        <v>0</v>
      </c>
      <c r="I132" s="841">
        <f t="shared" ref="I132:I134" si="93">SUM(J132:L132)</f>
        <v>0</v>
      </c>
      <c r="J132" s="842">
        <f t="shared" ref="J132:Q135" si="94">IFERROR($D132*J155/100, 0)</f>
        <v>0</v>
      </c>
      <c r="K132" s="843">
        <f t="shared" si="94"/>
        <v>0</v>
      </c>
      <c r="L132" s="844">
        <f t="shared" si="94"/>
        <v>0</v>
      </c>
      <c r="M132" s="841">
        <f t="shared" si="94"/>
        <v>0</v>
      </c>
      <c r="N132" s="845">
        <f t="shared" si="74"/>
        <v>0</v>
      </c>
      <c r="O132" s="843">
        <f t="shared" ref="O132:Q134" si="95">IFERROR($D132*O155/100, 0)</f>
        <v>0</v>
      </c>
      <c r="P132" s="846">
        <f t="shared" si="95"/>
        <v>0</v>
      </c>
      <c r="Q132" s="847">
        <f t="shared" si="95"/>
        <v>0</v>
      </c>
      <c r="R132" s="729" t="s">
        <v>1411</v>
      </c>
    </row>
    <row r="133" spans="1:18">
      <c r="A133" s="618"/>
      <c r="B133" s="652" t="s">
        <v>498</v>
      </c>
      <c r="C133" s="670" t="s">
        <v>43</v>
      </c>
      <c r="D133" s="840">
        <v>0</v>
      </c>
      <c r="E133" s="841">
        <f t="shared" si="83"/>
        <v>0</v>
      </c>
      <c r="F133" s="842">
        <f t="shared" si="92"/>
        <v>0</v>
      </c>
      <c r="G133" s="843">
        <f t="shared" si="92"/>
        <v>0</v>
      </c>
      <c r="H133" s="844">
        <f t="shared" si="92"/>
        <v>0</v>
      </c>
      <c r="I133" s="841">
        <f t="shared" si="93"/>
        <v>0</v>
      </c>
      <c r="J133" s="842">
        <f t="shared" si="94"/>
        <v>0</v>
      </c>
      <c r="K133" s="843">
        <f t="shared" si="94"/>
        <v>0</v>
      </c>
      <c r="L133" s="844">
        <f t="shared" si="94"/>
        <v>0</v>
      </c>
      <c r="M133" s="841">
        <f t="shared" si="94"/>
        <v>0</v>
      </c>
      <c r="N133" s="845">
        <f t="shared" si="74"/>
        <v>0</v>
      </c>
      <c r="O133" s="843">
        <f t="shared" si="95"/>
        <v>0</v>
      </c>
      <c r="P133" s="846">
        <f t="shared" si="95"/>
        <v>0</v>
      </c>
      <c r="Q133" s="847">
        <f t="shared" si="95"/>
        <v>0</v>
      </c>
      <c r="R133" s="729" t="s">
        <v>1413</v>
      </c>
    </row>
    <row r="134" spans="1:18" ht="26.5">
      <c r="A134" s="618"/>
      <c r="B134" s="652" t="s">
        <v>499</v>
      </c>
      <c r="C134" s="670" t="s">
        <v>45</v>
      </c>
      <c r="D134" s="840">
        <v>0</v>
      </c>
      <c r="E134" s="841">
        <f t="shared" si="83"/>
        <v>0</v>
      </c>
      <c r="F134" s="842">
        <f t="shared" si="92"/>
        <v>0</v>
      </c>
      <c r="G134" s="843">
        <f t="shared" si="92"/>
        <v>0</v>
      </c>
      <c r="H134" s="844">
        <f t="shared" si="92"/>
        <v>0</v>
      </c>
      <c r="I134" s="841">
        <f t="shared" si="93"/>
        <v>0</v>
      </c>
      <c r="J134" s="842">
        <f t="shared" si="94"/>
        <v>0</v>
      </c>
      <c r="K134" s="843">
        <f t="shared" si="94"/>
        <v>0</v>
      </c>
      <c r="L134" s="844">
        <f t="shared" si="94"/>
        <v>0</v>
      </c>
      <c r="M134" s="841">
        <f t="shared" si="94"/>
        <v>0</v>
      </c>
      <c r="N134" s="845">
        <f t="shared" si="74"/>
        <v>0</v>
      </c>
      <c r="O134" s="843">
        <f t="shared" si="95"/>
        <v>0</v>
      </c>
      <c r="P134" s="846">
        <f t="shared" si="95"/>
        <v>0</v>
      </c>
      <c r="Q134" s="847">
        <f t="shared" si="95"/>
        <v>0</v>
      </c>
      <c r="R134" s="729" t="s">
        <v>1415</v>
      </c>
    </row>
    <row r="135" spans="1:18" ht="26.5">
      <c r="A135" s="618"/>
      <c r="B135" s="652" t="s">
        <v>500</v>
      </c>
      <c r="C135" s="670" t="s">
        <v>603</v>
      </c>
      <c r="D135" s="840">
        <v>4.1973799999999999</v>
      </c>
      <c r="E135" s="841">
        <f t="shared" si="83"/>
        <v>1.3181823942087536</v>
      </c>
      <c r="F135" s="842">
        <f t="shared" si="92"/>
        <v>0.19598762666863745</v>
      </c>
      <c r="G135" s="843">
        <f t="shared" si="92"/>
        <v>0.15327696057477155</v>
      </c>
      <c r="H135" s="844">
        <f t="shared" si="92"/>
        <v>0.96891780696534457</v>
      </c>
      <c r="I135" s="841">
        <f t="shared" si="78"/>
        <v>2.4600724373730563</v>
      </c>
      <c r="J135" s="842">
        <f t="shared" si="94"/>
        <v>1.1707967290811414</v>
      </c>
      <c r="K135" s="843">
        <f t="shared" si="94"/>
        <v>0.90020816997044151</v>
      </c>
      <c r="L135" s="844">
        <f t="shared" si="94"/>
        <v>0.38906753832147328</v>
      </c>
      <c r="M135" s="841">
        <f t="shared" si="94"/>
        <v>0.19543115838669589</v>
      </c>
      <c r="N135" s="845">
        <f t="shared" si="74"/>
        <v>0.18398709537884336</v>
      </c>
      <c r="O135" s="843">
        <f>IFERROR($D135*O158/100, 0)</f>
        <v>0.18398709537884336</v>
      </c>
      <c r="P135" s="846">
        <f t="shared" si="94"/>
        <v>0</v>
      </c>
      <c r="Q135" s="847">
        <f t="shared" si="94"/>
        <v>3.9706914652650978E-2</v>
      </c>
      <c r="R135" s="729" t="s">
        <v>1417</v>
      </c>
    </row>
    <row r="136" spans="1:18">
      <c r="A136" s="618"/>
      <c r="B136" s="643" t="s">
        <v>155</v>
      </c>
      <c r="C136" s="672" t="s">
        <v>51</v>
      </c>
      <c r="D136" s="797">
        <f>D137+D138</f>
        <v>16.2</v>
      </c>
      <c r="E136" s="798">
        <f t="shared" si="83"/>
        <v>5.0875914942611358</v>
      </c>
      <c r="F136" s="848">
        <f>F137+F138</f>
        <v>0.75642413887518567</v>
      </c>
      <c r="G136" s="849">
        <f>G137+G138</f>
        <v>0.59158016698781124</v>
      </c>
      <c r="H136" s="850">
        <f>H137+H138</f>
        <v>3.7395871883981391</v>
      </c>
      <c r="I136" s="798">
        <f t="shared" si="78"/>
        <v>9.4947737601655096</v>
      </c>
      <c r="J136" s="848">
        <f t="shared" ref="J136:Q136" si="96">J137+J138</f>
        <v>4.5187490794530136</v>
      </c>
      <c r="K136" s="849">
        <f t="shared" si="96"/>
        <v>3.4743988758514006</v>
      </c>
      <c r="L136" s="850">
        <f t="shared" si="96"/>
        <v>1.5016258048610962</v>
      </c>
      <c r="M136" s="798">
        <f t="shared" si="96"/>
        <v>0.75427642144968376</v>
      </c>
      <c r="N136" s="851">
        <f t="shared" si="74"/>
        <v>0.71010748255751499</v>
      </c>
      <c r="O136" s="849">
        <f>O137+O138</f>
        <v>0.71010748255751499</v>
      </c>
      <c r="P136" s="852">
        <f t="shared" si="96"/>
        <v>0</v>
      </c>
      <c r="Q136" s="853">
        <f t="shared" si="96"/>
        <v>0.15325084156615457</v>
      </c>
    </row>
    <row r="137" spans="1:18">
      <c r="A137" s="618"/>
      <c r="B137" s="681" t="s">
        <v>667</v>
      </c>
      <c r="C137" s="682" t="s">
        <v>53</v>
      </c>
      <c r="D137" s="854">
        <v>16.2</v>
      </c>
      <c r="E137" s="841">
        <f t="shared" si="83"/>
        <v>5.0875914942611358</v>
      </c>
      <c r="F137" s="842">
        <f t="shared" ref="F137:H138" si="97">IFERROR($D137*F159/100, 0)</f>
        <v>0.75642413887518567</v>
      </c>
      <c r="G137" s="843">
        <f t="shared" si="97"/>
        <v>0.59158016698781124</v>
      </c>
      <c r="H137" s="844">
        <f t="shared" si="97"/>
        <v>3.7395871883981391</v>
      </c>
      <c r="I137" s="841">
        <f t="shared" si="78"/>
        <v>9.4947737601655096</v>
      </c>
      <c r="J137" s="842">
        <f t="shared" ref="J137:M138" si="98">IFERROR($D137*J159/100, 0)</f>
        <v>4.5187490794530136</v>
      </c>
      <c r="K137" s="843">
        <f t="shared" si="98"/>
        <v>3.4743988758514006</v>
      </c>
      <c r="L137" s="844">
        <f t="shared" si="98"/>
        <v>1.5016258048610962</v>
      </c>
      <c r="M137" s="841">
        <f t="shared" si="98"/>
        <v>0.75427642144968376</v>
      </c>
      <c r="N137" s="845">
        <f t="shared" si="74"/>
        <v>0.71010748255751499</v>
      </c>
      <c r="O137" s="843">
        <f t="shared" ref="O137:Q138" si="99">IFERROR($D137*O159/100, 0)</f>
        <v>0.71010748255751499</v>
      </c>
      <c r="P137" s="846">
        <f t="shared" si="99"/>
        <v>0</v>
      </c>
      <c r="Q137" s="847">
        <f t="shared" si="99"/>
        <v>0.15325084156615457</v>
      </c>
      <c r="R137" s="128" t="s">
        <v>1435</v>
      </c>
    </row>
    <row r="138" spans="1:18">
      <c r="A138" s="618"/>
      <c r="B138" s="681" t="s">
        <v>668</v>
      </c>
      <c r="C138" s="691" t="s">
        <v>669</v>
      </c>
      <c r="D138" s="854">
        <v>0</v>
      </c>
      <c r="E138" s="841">
        <f t="shared" si="83"/>
        <v>0</v>
      </c>
      <c r="F138" s="842">
        <f t="shared" si="97"/>
        <v>0</v>
      </c>
      <c r="G138" s="843">
        <f t="shared" si="97"/>
        <v>0</v>
      </c>
      <c r="H138" s="844">
        <f t="shared" si="97"/>
        <v>0</v>
      </c>
      <c r="I138" s="841">
        <f t="shared" si="78"/>
        <v>0</v>
      </c>
      <c r="J138" s="842">
        <f t="shared" si="98"/>
        <v>0</v>
      </c>
      <c r="K138" s="843">
        <f t="shared" si="98"/>
        <v>0</v>
      </c>
      <c r="L138" s="844">
        <f t="shared" si="98"/>
        <v>0</v>
      </c>
      <c r="M138" s="841">
        <f t="shared" si="98"/>
        <v>0</v>
      </c>
      <c r="N138" s="845">
        <f t="shared" si="74"/>
        <v>0</v>
      </c>
      <c r="O138" s="843">
        <f t="shared" si="99"/>
        <v>0</v>
      </c>
      <c r="P138" s="846">
        <f t="shared" si="99"/>
        <v>0</v>
      </c>
      <c r="Q138" s="847">
        <f t="shared" si="99"/>
        <v>0</v>
      </c>
      <c r="R138" s="128" t="s">
        <v>1436</v>
      </c>
    </row>
    <row r="139" spans="1:18">
      <c r="A139" s="618"/>
      <c r="B139" s="694" t="s">
        <v>157</v>
      </c>
      <c r="C139" s="695" t="s">
        <v>604</v>
      </c>
      <c r="D139" s="797">
        <f>D140+D141+D142</f>
        <v>3.5401799999999999</v>
      </c>
      <c r="E139" s="798">
        <f t="shared" ref="E139:Q139" si="100">E140+E141+E142</f>
        <v>1.1117894849477401</v>
      </c>
      <c r="F139" s="797">
        <f t="shared" si="100"/>
        <v>0.16530108691130585</v>
      </c>
      <c r="G139" s="855">
        <f t="shared" si="100"/>
        <v>0.12927779478808085</v>
      </c>
      <c r="H139" s="856">
        <f t="shared" si="100"/>
        <v>0.81721060324835337</v>
      </c>
      <c r="I139" s="798">
        <f t="shared" si="100"/>
        <v>2.0748893932260946</v>
      </c>
      <c r="J139" s="855">
        <f t="shared" si="100"/>
        <v>0.98748056272209683</v>
      </c>
      <c r="K139" s="855">
        <f t="shared" si="100"/>
        <v>0.75925909952540804</v>
      </c>
      <c r="L139" s="857">
        <f t="shared" si="100"/>
        <v>0.32814973097858979</v>
      </c>
      <c r="M139" s="858">
        <f t="shared" si="100"/>
        <v>0.16483174701776182</v>
      </c>
      <c r="N139" s="851">
        <f t="shared" si="74"/>
        <v>0.15517952516052244</v>
      </c>
      <c r="O139" s="855">
        <f>O140+O141+O142</f>
        <v>0.15517952516052244</v>
      </c>
      <c r="P139" s="859">
        <f t="shared" si="100"/>
        <v>0</v>
      </c>
      <c r="Q139" s="860">
        <f t="shared" si="100"/>
        <v>3.3489849647880807E-2</v>
      </c>
    </row>
    <row r="140" spans="1:18">
      <c r="A140" s="618"/>
      <c r="B140" s="696" t="s">
        <v>501</v>
      </c>
      <c r="C140" s="697" t="s">
        <v>1433</v>
      </c>
      <c r="D140" s="861">
        <v>0</v>
      </c>
      <c r="E140" s="841">
        <f>SUM(F140:H140)</f>
        <v>0</v>
      </c>
      <c r="F140" s="842">
        <f t="shared" ref="F140:H142" si="101">IFERROR($D140*F161/100, 0)</f>
        <v>0</v>
      </c>
      <c r="G140" s="843">
        <f t="shared" si="101"/>
        <v>0</v>
      </c>
      <c r="H140" s="844">
        <f t="shared" si="101"/>
        <v>0</v>
      </c>
      <c r="I140" s="841">
        <f t="shared" si="78"/>
        <v>0</v>
      </c>
      <c r="J140" s="842">
        <f t="shared" ref="J140:M142" si="102">IFERROR($D140*J161/100, 0)</f>
        <v>0</v>
      </c>
      <c r="K140" s="843">
        <f t="shared" si="102"/>
        <v>0</v>
      </c>
      <c r="L140" s="844">
        <f t="shared" si="102"/>
        <v>0</v>
      </c>
      <c r="M140" s="841">
        <f t="shared" si="102"/>
        <v>0</v>
      </c>
      <c r="N140" s="845">
        <f t="shared" si="74"/>
        <v>0</v>
      </c>
      <c r="O140" s="843">
        <f t="shared" ref="O140:Q142" si="103">IFERROR($D140*O161/100, 0)</f>
        <v>0</v>
      </c>
      <c r="P140" s="846">
        <f t="shared" si="103"/>
        <v>0</v>
      </c>
      <c r="Q140" s="847">
        <f t="shared" si="103"/>
        <v>0</v>
      </c>
      <c r="R140" s="128" t="s">
        <v>1437</v>
      </c>
    </row>
    <row r="141" spans="1:18">
      <c r="A141" s="618"/>
      <c r="B141" s="681" t="s">
        <v>502</v>
      </c>
      <c r="C141" s="697" t="s">
        <v>47</v>
      </c>
      <c r="D141" s="861">
        <v>3.5401799999999999</v>
      </c>
      <c r="E141" s="841">
        <f>SUM(F141:H141)</f>
        <v>1.1117894849477401</v>
      </c>
      <c r="F141" s="842">
        <f t="shared" si="101"/>
        <v>0.16530108691130585</v>
      </c>
      <c r="G141" s="843">
        <f t="shared" si="101"/>
        <v>0.12927779478808085</v>
      </c>
      <c r="H141" s="844">
        <f t="shared" si="101"/>
        <v>0.81721060324835337</v>
      </c>
      <c r="I141" s="841">
        <f t="shared" si="78"/>
        <v>2.0748893932260946</v>
      </c>
      <c r="J141" s="842">
        <f t="shared" si="102"/>
        <v>0.98748056272209683</v>
      </c>
      <c r="K141" s="843">
        <f t="shared" si="102"/>
        <v>0.75925909952540804</v>
      </c>
      <c r="L141" s="844">
        <f t="shared" si="102"/>
        <v>0.32814973097858979</v>
      </c>
      <c r="M141" s="841">
        <f t="shared" si="102"/>
        <v>0.16483174701776182</v>
      </c>
      <c r="N141" s="845">
        <f t="shared" si="74"/>
        <v>0.15517952516052244</v>
      </c>
      <c r="O141" s="843">
        <f t="shared" si="103"/>
        <v>0.15517952516052244</v>
      </c>
      <c r="P141" s="846">
        <f t="shared" si="103"/>
        <v>0</v>
      </c>
      <c r="Q141" s="847">
        <f t="shared" si="103"/>
        <v>3.3489849647880807E-2</v>
      </c>
      <c r="R141" s="128" t="s">
        <v>1419</v>
      </c>
    </row>
    <row r="142" spans="1:18" ht="15" thickBot="1">
      <c r="A142" s="618"/>
      <c r="B142" s="780" t="s">
        <v>503</v>
      </c>
      <c r="C142" s="699" t="s">
        <v>1434</v>
      </c>
      <c r="D142" s="840">
        <v>0</v>
      </c>
      <c r="E142" s="841">
        <f>SUM(F142:H142)</f>
        <v>0</v>
      </c>
      <c r="F142" s="842">
        <f t="shared" si="101"/>
        <v>0</v>
      </c>
      <c r="G142" s="843">
        <f t="shared" si="101"/>
        <v>0</v>
      </c>
      <c r="H142" s="844">
        <f t="shared" si="101"/>
        <v>0</v>
      </c>
      <c r="I142" s="841">
        <f t="shared" si="78"/>
        <v>0</v>
      </c>
      <c r="J142" s="842">
        <f t="shared" si="102"/>
        <v>0</v>
      </c>
      <c r="K142" s="843">
        <f t="shared" si="102"/>
        <v>0</v>
      </c>
      <c r="L142" s="844">
        <f t="shared" si="102"/>
        <v>0</v>
      </c>
      <c r="M142" s="841">
        <f t="shared" si="102"/>
        <v>0</v>
      </c>
      <c r="N142" s="845">
        <f t="shared" si="74"/>
        <v>0</v>
      </c>
      <c r="O142" s="843">
        <f t="shared" si="103"/>
        <v>0</v>
      </c>
      <c r="P142" s="846">
        <f t="shared" si="103"/>
        <v>0</v>
      </c>
      <c r="Q142" s="847">
        <f t="shared" si="103"/>
        <v>0</v>
      </c>
      <c r="R142" s="128" t="s">
        <v>1421</v>
      </c>
    </row>
    <row r="143" spans="1:18" ht="65.5" thickBot="1">
      <c r="A143" s="618"/>
      <c r="B143" s="622" t="s">
        <v>191</v>
      </c>
      <c r="C143" s="781" t="s">
        <v>670</v>
      </c>
      <c r="D143" s="624" t="s">
        <v>238</v>
      </c>
      <c r="E143" s="625" t="s">
        <v>239</v>
      </c>
      <c r="F143" s="626" t="s">
        <v>240</v>
      </c>
      <c r="G143" s="627" t="s">
        <v>241</v>
      </c>
      <c r="H143" s="628" t="s">
        <v>242</v>
      </c>
      <c r="I143" s="625" t="s">
        <v>243</v>
      </c>
      <c r="J143" s="626" t="s">
        <v>244</v>
      </c>
      <c r="K143" s="627" t="s">
        <v>245</v>
      </c>
      <c r="L143" s="782" t="s">
        <v>246</v>
      </c>
      <c r="M143" s="625" t="s">
        <v>247</v>
      </c>
      <c r="N143" s="629" t="s">
        <v>248</v>
      </c>
      <c r="O143" s="631" t="s">
        <v>590</v>
      </c>
      <c r="P143" s="783" t="s">
        <v>250</v>
      </c>
      <c r="Q143" s="633" t="s">
        <v>251</v>
      </c>
    </row>
    <row r="144" spans="1:18">
      <c r="A144" s="618"/>
      <c r="B144" s="784" t="s">
        <v>193</v>
      </c>
      <c r="C144" s="785" t="s">
        <v>671</v>
      </c>
      <c r="D144" s="786">
        <f t="shared" ref="D144:D164" si="104">O144+E144+I144+M144+P144+Q144</f>
        <v>99.999999999999986</v>
      </c>
      <c r="E144" s="787">
        <f t="shared" ref="E144:E164" si="105">SUM(F144:H144)</f>
        <v>31.40488576704405</v>
      </c>
      <c r="F144" s="788">
        <f>'4'!F$242</f>
        <v>4.6692848078715166</v>
      </c>
      <c r="G144" s="789">
        <f>'4'!G$242</f>
        <v>3.6517294258506867</v>
      </c>
      <c r="H144" s="790">
        <f>'4'!H$242</f>
        <v>23.083871533321847</v>
      </c>
      <c r="I144" s="787">
        <f t="shared" ref="I144:I164" si="106">SUM(J144:L144)</f>
        <v>58.609714568922897</v>
      </c>
      <c r="J144" s="788">
        <f>'4'!J$242</f>
        <v>27.893512836129712</v>
      </c>
      <c r="K144" s="789">
        <f>'4'!K$242</f>
        <v>21.446906641058028</v>
      </c>
      <c r="L144" s="790">
        <f>'4'!L$242</f>
        <v>9.2692950917351613</v>
      </c>
      <c r="M144" s="791">
        <f>'4'!M$242</f>
        <v>4.6560272928992825</v>
      </c>
      <c r="N144" s="792">
        <f t="shared" ref="N144:N164" si="107">O144+P144</f>
        <v>4.3833795219599692</v>
      </c>
      <c r="O144" s="789">
        <f>'4'!O$242</f>
        <v>4.3833795219599692</v>
      </c>
      <c r="P144" s="793">
        <f>'4'!P$242</f>
        <v>0</v>
      </c>
      <c r="Q144" s="794">
        <f>'4'!Q$242</f>
        <v>0.94599284917379367</v>
      </c>
    </row>
    <row r="145" spans="1:17">
      <c r="A145" s="618"/>
      <c r="B145" s="795" t="s">
        <v>195</v>
      </c>
      <c r="C145" s="796" t="s">
        <v>672</v>
      </c>
      <c r="D145" s="797">
        <f t="shared" si="104"/>
        <v>99.999999999999986</v>
      </c>
      <c r="E145" s="798">
        <f t="shared" si="105"/>
        <v>31.40488576704405</v>
      </c>
      <c r="F145" s="799">
        <f>'4'!F$242</f>
        <v>4.6692848078715166</v>
      </c>
      <c r="G145" s="800">
        <f>'4'!G$242</f>
        <v>3.6517294258506867</v>
      </c>
      <c r="H145" s="801">
        <f>'4'!H$242</f>
        <v>23.083871533321847</v>
      </c>
      <c r="I145" s="798">
        <f t="shared" si="106"/>
        <v>58.609714568922897</v>
      </c>
      <c r="J145" s="799">
        <f>'4'!J$242</f>
        <v>27.893512836129712</v>
      </c>
      <c r="K145" s="800">
        <f>'4'!K$242</f>
        <v>21.446906641058028</v>
      </c>
      <c r="L145" s="801">
        <f>'4'!L$242</f>
        <v>9.2692950917351613</v>
      </c>
      <c r="M145" s="802">
        <f>'4'!M$242</f>
        <v>4.6560272928992825</v>
      </c>
      <c r="N145" s="792">
        <f t="shared" si="107"/>
        <v>4.3833795219599692</v>
      </c>
      <c r="O145" s="800">
        <f>'4'!O$242</f>
        <v>4.3833795219599692</v>
      </c>
      <c r="P145" s="803">
        <f>'4'!P$242</f>
        <v>0</v>
      </c>
      <c r="Q145" s="804">
        <f>'4'!Q$242</f>
        <v>0.94599284917379367</v>
      </c>
    </row>
    <row r="146" spans="1:17">
      <c r="A146" s="618"/>
      <c r="B146" s="795" t="s">
        <v>203</v>
      </c>
      <c r="C146" s="796" t="s">
        <v>673</v>
      </c>
      <c r="D146" s="797">
        <f t="shared" si="104"/>
        <v>99.999999999999986</v>
      </c>
      <c r="E146" s="798">
        <f t="shared" si="105"/>
        <v>31.40488576704405</v>
      </c>
      <c r="F146" s="799">
        <f>'4'!F$242</f>
        <v>4.6692848078715166</v>
      </c>
      <c r="G146" s="800">
        <f>'4'!G$242</f>
        <v>3.6517294258506867</v>
      </c>
      <c r="H146" s="801">
        <f>'4'!H$242</f>
        <v>23.083871533321847</v>
      </c>
      <c r="I146" s="798">
        <f t="shared" si="106"/>
        <v>58.609714568922897</v>
      </c>
      <c r="J146" s="799">
        <f>'4'!J$242</f>
        <v>27.893512836129712</v>
      </c>
      <c r="K146" s="800">
        <f>'4'!K$242</f>
        <v>21.446906641058028</v>
      </c>
      <c r="L146" s="801">
        <f>'4'!L$242</f>
        <v>9.2692950917351613</v>
      </c>
      <c r="M146" s="802">
        <f>'4'!M$242</f>
        <v>4.6560272928992825</v>
      </c>
      <c r="N146" s="792">
        <f t="shared" si="107"/>
        <v>4.3833795219599692</v>
      </c>
      <c r="O146" s="800">
        <f>'4'!O$242</f>
        <v>4.3833795219599692</v>
      </c>
      <c r="P146" s="803">
        <f>'4'!P$242</f>
        <v>0</v>
      </c>
      <c r="Q146" s="804">
        <f>'4'!Q$242</f>
        <v>0.94599284917379367</v>
      </c>
    </row>
    <row r="147" spans="1:17">
      <c r="A147" s="618"/>
      <c r="B147" s="805" t="s">
        <v>674</v>
      </c>
      <c r="C147" s="796" t="s">
        <v>675</v>
      </c>
      <c r="D147" s="797">
        <f t="shared" si="104"/>
        <v>99.999999999999986</v>
      </c>
      <c r="E147" s="798">
        <f t="shared" si="105"/>
        <v>31.40488576704405</v>
      </c>
      <c r="F147" s="799">
        <f>'4'!F$242</f>
        <v>4.6692848078715166</v>
      </c>
      <c r="G147" s="800">
        <f>'4'!G$242</f>
        <v>3.6517294258506867</v>
      </c>
      <c r="H147" s="801">
        <f>'4'!H$242</f>
        <v>23.083871533321847</v>
      </c>
      <c r="I147" s="798">
        <f t="shared" si="106"/>
        <v>58.609714568922897</v>
      </c>
      <c r="J147" s="799">
        <f>'4'!J$242</f>
        <v>27.893512836129712</v>
      </c>
      <c r="K147" s="800">
        <f>'4'!K$242</f>
        <v>21.446906641058028</v>
      </c>
      <c r="L147" s="801">
        <f>'4'!L$242</f>
        <v>9.2692950917351613</v>
      </c>
      <c r="M147" s="802">
        <f>'4'!M$242</f>
        <v>4.6560272928992825</v>
      </c>
      <c r="N147" s="792">
        <f t="shared" si="107"/>
        <v>4.3833795219599692</v>
      </c>
      <c r="O147" s="800">
        <f>'4'!O$242</f>
        <v>4.3833795219599692</v>
      </c>
      <c r="P147" s="803">
        <f>'4'!P$242</f>
        <v>0</v>
      </c>
      <c r="Q147" s="804">
        <f>'4'!Q$242</f>
        <v>0.94599284917379367</v>
      </c>
    </row>
    <row r="148" spans="1:17">
      <c r="A148" s="618"/>
      <c r="B148" s="795" t="s">
        <v>676</v>
      </c>
      <c r="C148" s="796" t="s">
        <v>677</v>
      </c>
      <c r="D148" s="797">
        <f t="shared" si="104"/>
        <v>99.999999999999986</v>
      </c>
      <c r="E148" s="798">
        <f t="shared" si="105"/>
        <v>31.40488576704405</v>
      </c>
      <c r="F148" s="799">
        <f>'4'!F$242</f>
        <v>4.6692848078715166</v>
      </c>
      <c r="G148" s="800">
        <f>'4'!G$242</f>
        <v>3.6517294258506867</v>
      </c>
      <c r="H148" s="801">
        <f>'4'!H$242</f>
        <v>23.083871533321847</v>
      </c>
      <c r="I148" s="798">
        <f t="shared" si="106"/>
        <v>58.609714568922897</v>
      </c>
      <c r="J148" s="799">
        <f>'4'!J$242</f>
        <v>27.893512836129712</v>
      </c>
      <c r="K148" s="800">
        <f>'4'!K$242</f>
        <v>21.446906641058028</v>
      </c>
      <c r="L148" s="801">
        <f>'4'!L$242</f>
        <v>9.2692950917351613</v>
      </c>
      <c r="M148" s="802">
        <f>'4'!M$242</f>
        <v>4.6560272928992825</v>
      </c>
      <c r="N148" s="792">
        <f t="shared" si="107"/>
        <v>4.3833795219599692</v>
      </c>
      <c r="O148" s="800">
        <f>'4'!O$242</f>
        <v>4.3833795219599692</v>
      </c>
      <c r="P148" s="803">
        <f>'4'!P$242</f>
        <v>0</v>
      </c>
      <c r="Q148" s="804">
        <f>'4'!Q$242</f>
        <v>0.94599284917379367</v>
      </c>
    </row>
    <row r="149" spans="1:17">
      <c r="A149" s="618"/>
      <c r="B149" s="795" t="s">
        <v>678</v>
      </c>
      <c r="C149" s="796" t="s">
        <v>679</v>
      </c>
      <c r="D149" s="797">
        <f t="shared" si="104"/>
        <v>99.999999999999986</v>
      </c>
      <c r="E149" s="798">
        <f t="shared" si="105"/>
        <v>31.40488576704405</v>
      </c>
      <c r="F149" s="799">
        <f>'4'!F$242</f>
        <v>4.6692848078715166</v>
      </c>
      <c r="G149" s="800">
        <f>'4'!G$242</f>
        <v>3.6517294258506867</v>
      </c>
      <c r="H149" s="801">
        <f>'4'!H$242</f>
        <v>23.083871533321847</v>
      </c>
      <c r="I149" s="798">
        <f t="shared" si="106"/>
        <v>58.609714568922897</v>
      </c>
      <c r="J149" s="799">
        <f>'4'!J$242</f>
        <v>27.893512836129712</v>
      </c>
      <c r="K149" s="800">
        <f>'4'!K$242</f>
        <v>21.446906641058028</v>
      </c>
      <c r="L149" s="801">
        <f>'4'!L$242</f>
        <v>9.2692950917351613</v>
      </c>
      <c r="M149" s="802">
        <f>'4'!M$242</f>
        <v>4.6560272928992825</v>
      </c>
      <c r="N149" s="792">
        <f t="shared" si="107"/>
        <v>4.3833795219599692</v>
      </c>
      <c r="O149" s="800">
        <f>'4'!O$242</f>
        <v>4.3833795219599692</v>
      </c>
      <c r="P149" s="803">
        <f>'4'!P$242</f>
        <v>0</v>
      </c>
      <c r="Q149" s="804">
        <f>'4'!Q$242</f>
        <v>0.94599284917379367</v>
      </c>
    </row>
    <row r="150" spans="1:17">
      <c r="A150" s="618"/>
      <c r="B150" s="795" t="s">
        <v>680</v>
      </c>
      <c r="C150" s="796" t="s">
        <v>681</v>
      </c>
      <c r="D150" s="797">
        <f t="shared" si="104"/>
        <v>99.999999999999986</v>
      </c>
      <c r="E150" s="798">
        <f t="shared" si="105"/>
        <v>31.40488576704405</v>
      </c>
      <c r="F150" s="799">
        <f>'4'!F$242</f>
        <v>4.6692848078715166</v>
      </c>
      <c r="G150" s="800">
        <f>'4'!G$242</f>
        <v>3.6517294258506867</v>
      </c>
      <c r="H150" s="801">
        <f>'4'!H$242</f>
        <v>23.083871533321847</v>
      </c>
      <c r="I150" s="798">
        <f t="shared" si="106"/>
        <v>58.609714568922897</v>
      </c>
      <c r="J150" s="799">
        <f>'4'!J$242</f>
        <v>27.893512836129712</v>
      </c>
      <c r="K150" s="800">
        <f>'4'!K$242</f>
        <v>21.446906641058028</v>
      </c>
      <c r="L150" s="801">
        <f>'4'!L$242</f>
        <v>9.2692950917351613</v>
      </c>
      <c r="M150" s="802">
        <f>'4'!M$242</f>
        <v>4.6560272928992825</v>
      </c>
      <c r="N150" s="792">
        <f t="shared" si="107"/>
        <v>4.3833795219599692</v>
      </c>
      <c r="O150" s="800">
        <f>'4'!O$242</f>
        <v>4.3833795219599692</v>
      </c>
      <c r="P150" s="803">
        <f>'4'!P$242</f>
        <v>0</v>
      </c>
      <c r="Q150" s="804">
        <f>'4'!Q$242</f>
        <v>0.94599284917379367</v>
      </c>
    </row>
    <row r="151" spans="1:17">
      <c r="A151" s="618"/>
      <c r="B151" s="795" t="s">
        <v>682</v>
      </c>
      <c r="C151" s="796" t="s">
        <v>683</v>
      </c>
      <c r="D151" s="797">
        <f t="shared" si="104"/>
        <v>99.999999999999986</v>
      </c>
      <c r="E151" s="798">
        <f t="shared" si="105"/>
        <v>31.40488576704405</v>
      </c>
      <c r="F151" s="799">
        <f>'4'!F$242</f>
        <v>4.6692848078715166</v>
      </c>
      <c r="G151" s="800">
        <f>'4'!G$242</f>
        <v>3.6517294258506867</v>
      </c>
      <c r="H151" s="801">
        <f>'4'!H$242</f>
        <v>23.083871533321847</v>
      </c>
      <c r="I151" s="798">
        <f t="shared" si="106"/>
        <v>58.609714568922897</v>
      </c>
      <c r="J151" s="799">
        <f>'4'!J$242</f>
        <v>27.893512836129712</v>
      </c>
      <c r="K151" s="800">
        <f>'4'!K$242</f>
        <v>21.446906641058028</v>
      </c>
      <c r="L151" s="801">
        <f>'4'!L$242</f>
        <v>9.2692950917351613</v>
      </c>
      <c r="M151" s="802">
        <f>'4'!M$242</f>
        <v>4.6560272928992825</v>
      </c>
      <c r="N151" s="792">
        <f t="shared" si="107"/>
        <v>4.3833795219599692</v>
      </c>
      <c r="O151" s="800">
        <f>'4'!O$242</f>
        <v>4.3833795219599692</v>
      </c>
      <c r="P151" s="803">
        <f>'4'!P$242</f>
        <v>0</v>
      </c>
      <c r="Q151" s="804">
        <f>'4'!Q$242</f>
        <v>0.94599284917379367</v>
      </c>
    </row>
    <row r="152" spans="1:17">
      <c r="A152" s="618"/>
      <c r="B152" s="795" t="s">
        <v>684</v>
      </c>
      <c r="C152" s="796" t="s">
        <v>685</v>
      </c>
      <c r="D152" s="797">
        <f t="shared" si="104"/>
        <v>99.999999999999986</v>
      </c>
      <c r="E152" s="798">
        <f t="shared" si="105"/>
        <v>31.40488576704405</v>
      </c>
      <c r="F152" s="799">
        <f>'4'!F$242</f>
        <v>4.6692848078715166</v>
      </c>
      <c r="G152" s="800">
        <f>'4'!G$242</f>
        <v>3.6517294258506867</v>
      </c>
      <c r="H152" s="801">
        <f>'4'!H$242</f>
        <v>23.083871533321847</v>
      </c>
      <c r="I152" s="798">
        <f t="shared" si="106"/>
        <v>58.609714568922897</v>
      </c>
      <c r="J152" s="799">
        <f>'4'!J$242</f>
        <v>27.893512836129712</v>
      </c>
      <c r="K152" s="800">
        <f>'4'!K$242</f>
        <v>21.446906641058028</v>
      </c>
      <c r="L152" s="801">
        <f>'4'!L$242</f>
        <v>9.2692950917351613</v>
      </c>
      <c r="M152" s="802">
        <f>'4'!M$242</f>
        <v>4.6560272928992825</v>
      </c>
      <c r="N152" s="792">
        <f t="shared" si="107"/>
        <v>4.3833795219599692</v>
      </c>
      <c r="O152" s="800">
        <f>'4'!O$242</f>
        <v>4.3833795219599692</v>
      </c>
      <c r="P152" s="803">
        <f>'4'!P$242</f>
        <v>0</v>
      </c>
      <c r="Q152" s="804">
        <f>'4'!Q$242</f>
        <v>0.94599284917379367</v>
      </c>
    </row>
    <row r="153" spans="1:17">
      <c r="A153" s="618"/>
      <c r="B153" s="805" t="s">
        <v>686</v>
      </c>
      <c r="C153" s="796" t="s">
        <v>687</v>
      </c>
      <c r="D153" s="797">
        <f t="shared" si="104"/>
        <v>99.999999999999986</v>
      </c>
      <c r="E153" s="798">
        <f t="shared" si="105"/>
        <v>31.40488576704405</v>
      </c>
      <c r="F153" s="799">
        <f>'4'!F$242</f>
        <v>4.6692848078715166</v>
      </c>
      <c r="G153" s="800">
        <f>'4'!G$242</f>
        <v>3.6517294258506867</v>
      </c>
      <c r="H153" s="801">
        <f>'4'!H$242</f>
        <v>23.083871533321847</v>
      </c>
      <c r="I153" s="798">
        <f t="shared" si="106"/>
        <v>58.609714568922897</v>
      </c>
      <c r="J153" s="799">
        <f>'4'!J$242</f>
        <v>27.893512836129712</v>
      </c>
      <c r="K153" s="800">
        <f>'4'!K$242</f>
        <v>21.446906641058028</v>
      </c>
      <c r="L153" s="801">
        <f>'4'!L$242</f>
        <v>9.2692950917351613</v>
      </c>
      <c r="M153" s="802">
        <f>'4'!M$242</f>
        <v>4.6560272928992825</v>
      </c>
      <c r="N153" s="792">
        <f t="shared" si="107"/>
        <v>4.3833795219599692</v>
      </c>
      <c r="O153" s="800">
        <f>'4'!O$242</f>
        <v>4.3833795219599692</v>
      </c>
      <c r="P153" s="803">
        <f>'4'!P$242</f>
        <v>0</v>
      </c>
      <c r="Q153" s="804">
        <f>'4'!Q$242</f>
        <v>0.94599284917379367</v>
      </c>
    </row>
    <row r="154" spans="1:17">
      <c r="A154" s="618"/>
      <c r="B154" s="805" t="s">
        <v>688</v>
      </c>
      <c r="C154" s="796" t="s">
        <v>689</v>
      </c>
      <c r="D154" s="797">
        <f t="shared" si="104"/>
        <v>99.999999999999986</v>
      </c>
      <c r="E154" s="798">
        <f t="shared" si="105"/>
        <v>31.40488576704405</v>
      </c>
      <c r="F154" s="799">
        <f>'4'!F$242</f>
        <v>4.6692848078715166</v>
      </c>
      <c r="G154" s="800">
        <f>'4'!G$242</f>
        <v>3.6517294258506867</v>
      </c>
      <c r="H154" s="801">
        <f>'4'!H$242</f>
        <v>23.083871533321847</v>
      </c>
      <c r="I154" s="798">
        <f t="shared" si="106"/>
        <v>58.609714568922897</v>
      </c>
      <c r="J154" s="799">
        <f>'4'!J$242</f>
        <v>27.893512836129712</v>
      </c>
      <c r="K154" s="800">
        <f>'4'!K$242</f>
        <v>21.446906641058028</v>
      </c>
      <c r="L154" s="801">
        <f>'4'!L$242</f>
        <v>9.2692950917351613</v>
      </c>
      <c r="M154" s="802">
        <f>'4'!M$242</f>
        <v>4.6560272928992825</v>
      </c>
      <c r="N154" s="792">
        <f t="shared" si="107"/>
        <v>4.3833795219599692</v>
      </c>
      <c r="O154" s="800">
        <f>'4'!O$242</f>
        <v>4.3833795219599692</v>
      </c>
      <c r="P154" s="803">
        <f>'4'!P$242</f>
        <v>0</v>
      </c>
      <c r="Q154" s="804">
        <f>'4'!Q$242</f>
        <v>0.94599284917379367</v>
      </c>
    </row>
    <row r="155" spans="1:17">
      <c r="A155" s="618"/>
      <c r="B155" s="805" t="s">
        <v>690</v>
      </c>
      <c r="C155" s="796" t="s">
        <v>691</v>
      </c>
      <c r="D155" s="797">
        <f t="shared" si="104"/>
        <v>99.999999999999986</v>
      </c>
      <c r="E155" s="798">
        <f t="shared" si="105"/>
        <v>31.40488576704405</v>
      </c>
      <c r="F155" s="799">
        <f>'4'!F$242</f>
        <v>4.6692848078715166</v>
      </c>
      <c r="G155" s="800">
        <f>'4'!G$242</f>
        <v>3.6517294258506867</v>
      </c>
      <c r="H155" s="801">
        <f>'4'!H$242</f>
        <v>23.083871533321847</v>
      </c>
      <c r="I155" s="798">
        <f t="shared" si="106"/>
        <v>58.609714568922897</v>
      </c>
      <c r="J155" s="799">
        <f>'4'!J$242</f>
        <v>27.893512836129712</v>
      </c>
      <c r="K155" s="800">
        <f>'4'!K$242</f>
        <v>21.446906641058028</v>
      </c>
      <c r="L155" s="801">
        <f>'4'!L$242</f>
        <v>9.2692950917351613</v>
      </c>
      <c r="M155" s="802">
        <f>'4'!M$242</f>
        <v>4.6560272928992825</v>
      </c>
      <c r="N155" s="792">
        <f t="shared" si="107"/>
        <v>4.3833795219599692</v>
      </c>
      <c r="O155" s="800">
        <f>'4'!O$242</f>
        <v>4.3833795219599692</v>
      </c>
      <c r="P155" s="803">
        <f>'4'!P$242</f>
        <v>0</v>
      </c>
      <c r="Q155" s="804">
        <f>'4'!Q$242</f>
        <v>0.94599284917379367</v>
      </c>
    </row>
    <row r="156" spans="1:17">
      <c r="A156" s="618"/>
      <c r="B156" s="805" t="s">
        <v>692</v>
      </c>
      <c r="C156" s="796" t="s">
        <v>693</v>
      </c>
      <c r="D156" s="797">
        <f t="shared" si="104"/>
        <v>99.999999999999986</v>
      </c>
      <c r="E156" s="798">
        <f t="shared" si="105"/>
        <v>31.40488576704405</v>
      </c>
      <c r="F156" s="799">
        <f>'4'!F$242</f>
        <v>4.6692848078715166</v>
      </c>
      <c r="G156" s="800">
        <f>'4'!G$242</f>
        <v>3.6517294258506867</v>
      </c>
      <c r="H156" s="801">
        <f>'4'!H$242</f>
        <v>23.083871533321847</v>
      </c>
      <c r="I156" s="798">
        <f t="shared" si="106"/>
        <v>58.609714568922897</v>
      </c>
      <c r="J156" s="799">
        <f>'4'!J$242</f>
        <v>27.893512836129712</v>
      </c>
      <c r="K156" s="800">
        <f>'4'!K$242</f>
        <v>21.446906641058028</v>
      </c>
      <c r="L156" s="801">
        <f>'4'!L$242</f>
        <v>9.2692950917351613</v>
      </c>
      <c r="M156" s="802">
        <f>'4'!M$242</f>
        <v>4.6560272928992825</v>
      </c>
      <c r="N156" s="792">
        <f t="shared" si="107"/>
        <v>4.3833795219599692</v>
      </c>
      <c r="O156" s="800">
        <f>'4'!O$242</f>
        <v>4.3833795219599692</v>
      </c>
      <c r="P156" s="803">
        <f>'4'!P$242</f>
        <v>0</v>
      </c>
      <c r="Q156" s="804">
        <f>'4'!Q$242</f>
        <v>0.94599284917379367</v>
      </c>
    </row>
    <row r="157" spans="1:17">
      <c r="A157" s="618"/>
      <c r="B157" s="805" t="s">
        <v>694</v>
      </c>
      <c r="C157" s="796" t="s">
        <v>695</v>
      </c>
      <c r="D157" s="797">
        <f t="shared" si="104"/>
        <v>99.999999999999986</v>
      </c>
      <c r="E157" s="798">
        <f t="shared" si="105"/>
        <v>31.40488576704405</v>
      </c>
      <c r="F157" s="799">
        <f>'4'!F$242</f>
        <v>4.6692848078715166</v>
      </c>
      <c r="G157" s="800">
        <f>'4'!G$242</f>
        <v>3.6517294258506867</v>
      </c>
      <c r="H157" s="801">
        <f>'4'!H$242</f>
        <v>23.083871533321847</v>
      </c>
      <c r="I157" s="798">
        <f t="shared" si="106"/>
        <v>58.609714568922897</v>
      </c>
      <c r="J157" s="799">
        <f>'4'!J$242</f>
        <v>27.893512836129712</v>
      </c>
      <c r="K157" s="800">
        <f>'4'!K$242</f>
        <v>21.446906641058028</v>
      </c>
      <c r="L157" s="801">
        <f>'4'!L$242</f>
        <v>9.2692950917351613</v>
      </c>
      <c r="M157" s="802">
        <f>'4'!M$242</f>
        <v>4.6560272928992825</v>
      </c>
      <c r="N157" s="792">
        <f t="shared" si="107"/>
        <v>4.3833795219599692</v>
      </c>
      <c r="O157" s="800">
        <f>'4'!O$242</f>
        <v>4.3833795219599692</v>
      </c>
      <c r="P157" s="803">
        <f>'4'!P$242</f>
        <v>0</v>
      </c>
      <c r="Q157" s="804">
        <f>'4'!Q$242</f>
        <v>0.94599284917379367</v>
      </c>
    </row>
    <row r="158" spans="1:17">
      <c r="A158" s="618"/>
      <c r="B158" s="805" t="s">
        <v>696</v>
      </c>
      <c r="C158" s="796" t="s">
        <v>697</v>
      </c>
      <c r="D158" s="797">
        <f t="shared" si="104"/>
        <v>99.999999999999986</v>
      </c>
      <c r="E158" s="798">
        <f t="shared" si="105"/>
        <v>31.40488576704405</v>
      </c>
      <c r="F158" s="799">
        <f>'4'!F$242</f>
        <v>4.6692848078715166</v>
      </c>
      <c r="G158" s="800">
        <f>'4'!G$242</f>
        <v>3.6517294258506867</v>
      </c>
      <c r="H158" s="801">
        <f>'4'!H$242</f>
        <v>23.083871533321847</v>
      </c>
      <c r="I158" s="798">
        <f t="shared" si="106"/>
        <v>58.609714568922897</v>
      </c>
      <c r="J158" s="799">
        <f>'4'!J$242</f>
        <v>27.893512836129712</v>
      </c>
      <c r="K158" s="800">
        <f>'4'!K$242</f>
        <v>21.446906641058028</v>
      </c>
      <c r="L158" s="801">
        <f>'4'!L$242</f>
        <v>9.2692950917351613</v>
      </c>
      <c r="M158" s="802">
        <f>'4'!M$242</f>
        <v>4.6560272928992825</v>
      </c>
      <c r="N158" s="792">
        <f t="shared" si="107"/>
        <v>4.3833795219599692</v>
      </c>
      <c r="O158" s="800">
        <f>'4'!O$242</f>
        <v>4.3833795219599692</v>
      </c>
      <c r="P158" s="803">
        <f>'4'!P$242</f>
        <v>0</v>
      </c>
      <c r="Q158" s="802">
        <f>'4'!Q$242</f>
        <v>0.94599284917379367</v>
      </c>
    </row>
    <row r="159" spans="1:17">
      <c r="A159" s="618"/>
      <c r="B159" s="805" t="s">
        <v>698</v>
      </c>
      <c r="C159" s="796" t="s">
        <v>699</v>
      </c>
      <c r="D159" s="797">
        <f t="shared" si="104"/>
        <v>99.999999999999986</v>
      </c>
      <c r="E159" s="798">
        <f t="shared" si="105"/>
        <v>31.40488576704405</v>
      </c>
      <c r="F159" s="799">
        <f>'4'!F$242</f>
        <v>4.6692848078715166</v>
      </c>
      <c r="G159" s="800">
        <f>'4'!G$242</f>
        <v>3.6517294258506867</v>
      </c>
      <c r="H159" s="801">
        <f>'4'!H$242</f>
        <v>23.083871533321847</v>
      </c>
      <c r="I159" s="798">
        <f t="shared" si="106"/>
        <v>58.609714568922897</v>
      </c>
      <c r="J159" s="799">
        <f>'4'!J$242</f>
        <v>27.893512836129712</v>
      </c>
      <c r="K159" s="800">
        <f>'4'!K$242</f>
        <v>21.446906641058028</v>
      </c>
      <c r="L159" s="801">
        <f>'4'!L$242</f>
        <v>9.2692950917351613</v>
      </c>
      <c r="M159" s="802">
        <f>'4'!M$242</f>
        <v>4.6560272928992825</v>
      </c>
      <c r="N159" s="792">
        <f t="shared" si="107"/>
        <v>4.3833795219599692</v>
      </c>
      <c r="O159" s="800">
        <f>'4'!O$242</f>
        <v>4.3833795219599692</v>
      </c>
      <c r="P159" s="803">
        <f>'4'!P$242</f>
        <v>0</v>
      </c>
      <c r="Q159" s="802">
        <f>'4'!Q$242</f>
        <v>0.94599284917379367</v>
      </c>
    </row>
    <row r="160" spans="1:17">
      <c r="A160" s="618"/>
      <c r="B160" s="795" t="s">
        <v>700</v>
      </c>
      <c r="C160" s="796" t="s">
        <v>701</v>
      </c>
      <c r="D160" s="797">
        <f t="shared" si="104"/>
        <v>99.999999999999986</v>
      </c>
      <c r="E160" s="798">
        <f t="shared" si="105"/>
        <v>31.40488576704405</v>
      </c>
      <c r="F160" s="799">
        <f>'4'!F$242</f>
        <v>4.6692848078715166</v>
      </c>
      <c r="G160" s="800">
        <f>'4'!G$242</f>
        <v>3.6517294258506867</v>
      </c>
      <c r="H160" s="801">
        <f>'4'!H$242</f>
        <v>23.083871533321847</v>
      </c>
      <c r="I160" s="798">
        <f t="shared" si="106"/>
        <v>58.609714568922897</v>
      </c>
      <c r="J160" s="799">
        <f>'4'!J$242</f>
        <v>27.893512836129712</v>
      </c>
      <c r="K160" s="800">
        <f>'4'!K$242</f>
        <v>21.446906641058028</v>
      </c>
      <c r="L160" s="801">
        <f>'4'!L$242</f>
        <v>9.2692950917351613</v>
      </c>
      <c r="M160" s="802">
        <f>'4'!M$242</f>
        <v>4.6560272928992825</v>
      </c>
      <c r="N160" s="792">
        <f t="shared" si="107"/>
        <v>4.3833795219599692</v>
      </c>
      <c r="O160" s="800">
        <f>'4'!O$242</f>
        <v>4.3833795219599692</v>
      </c>
      <c r="P160" s="803">
        <f>'4'!P$242</f>
        <v>0</v>
      </c>
      <c r="Q160" s="802">
        <f>'4'!Q$242</f>
        <v>0.94599284917379367</v>
      </c>
    </row>
    <row r="161" spans="1:17">
      <c r="A161" s="618"/>
      <c r="B161" s="805" t="s">
        <v>702</v>
      </c>
      <c r="C161" s="796" t="s">
        <v>703</v>
      </c>
      <c r="D161" s="797">
        <f t="shared" si="104"/>
        <v>99.999999999999986</v>
      </c>
      <c r="E161" s="798">
        <f t="shared" si="105"/>
        <v>31.40488576704405</v>
      </c>
      <c r="F161" s="799">
        <f>'4'!F$242</f>
        <v>4.6692848078715166</v>
      </c>
      <c r="G161" s="800">
        <f>'4'!G$242</f>
        <v>3.6517294258506867</v>
      </c>
      <c r="H161" s="801">
        <f>'4'!H$242</f>
        <v>23.083871533321847</v>
      </c>
      <c r="I161" s="798">
        <f t="shared" si="106"/>
        <v>58.609714568922897</v>
      </c>
      <c r="J161" s="799">
        <f>'4'!J$242</f>
        <v>27.893512836129712</v>
      </c>
      <c r="K161" s="800">
        <f>'4'!K$242</f>
        <v>21.446906641058028</v>
      </c>
      <c r="L161" s="801">
        <f>'4'!L$242</f>
        <v>9.2692950917351613</v>
      </c>
      <c r="M161" s="802">
        <f>'4'!M$242</f>
        <v>4.6560272928992825</v>
      </c>
      <c r="N161" s="792">
        <f t="shared" si="107"/>
        <v>4.3833795219599692</v>
      </c>
      <c r="O161" s="800">
        <f>'4'!O$242</f>
        <v>4.3833795219599692</v>
      </c>
      <c r="P161" s="803">
        <f>'4'!P$242</f>
        <v>0</v>
      </c>
      <c r="Q161" s="802">
        <f>'4'!Q$242</f>
        <v>0.94599284917379367</v>
      </c>
    </row>
    <row r="162" spans="1:17">
      <c r="A162" s="618"/>
      <c r="B162" s="805" t="s">
        <v>704</v>
      </c>
      <c r="C162" s="806" t="s">
        <v>705</v>
      </c>
      <c r="D162" s="807">
        <f t="shared" si="104"/>
        <v>99.999999999999986</v>
      </c>
      <c r="E162" s="808">
        <f t="shared" si="105"/>
        <v>31.40488576704405</v>
      </c>
      <c r="F162" s="809">
        <f>'4'!F$242</f>
        <v>4.6692848078715166</v>
      </c>
      <c r="G162" s="810">
        <f>'4'!G$242</f>
        <v>3.6517294258506867</v>
      </c>
      <c r="H162" s="811">
        <f>'4'!H$242</f>
        <v>23.083871533321847</v>
      </c>
      <c r="I162" s="808">
        <f t="shared" si="106"/>
        <v>58.609714568922897</v>
      </c>
      <c r="J162" s="809">
        <f>'4'!J$242</f>
        <v>27.893512836129712</v>
      </c>
      <c r="K162" s="810">
        <f>'4'!K$242</f>
        <v>21.446906641058028</v>
      </c>
      <c r="L162" s="811">
        <f>'4'!L$242</f>
        <v>9.2692950917351613</v>
      </c>
      <c r="M162" s="812">
        <f>'4'!M$242</f>
        <v>4.6560272928992825</v>
      </c>
      <c r="N162" s="792">
        <f t="shared" si="107"/>
        <v>4.3833795219599692</v>
      </c>
      <c r="O162" s="810">
        <f>'4'!O$242</f>
        <v>4.3833795219599692</v>
      </c>
      <c r="P162" s="813">
        <f>'4'!P$242</f>
        <v>0</v>
      </c>
      <c r="Q162" s="812">
        <f>'4'!Q$242</f>
        <v>0.94599284917379367</v>
      </c>
    </row>
    <row r="163" spans="1:17" ht="15" thickBot="1">
      <c r="A163" s="618"/>
      <c r="B163" s="862" t="s">
        <v>706</v>
      </c>
      <c r="C163" s="863" t="s">
        <v>707</v>
      </c>
      <c r="D163" s="864">
        <f t="shared" si="104"/>
        <v>99.999999999999986</v>
      </c>
      <c r="E163" s="865">
        <f t="shared" si="105"/>
        <v>31.40488576704405</v>
      </c>
      <c r="F163" s="866">
        <f>'4'!F$242</f>
        <v>4.6692848078715166</v>
      </c>
      <c r="G163" s="867">
        <f>'4'!G$242</f>
        <v>3.6517294258506867</v>
      </c>
      <c r="H163" s="868">
        <f>'4'!H$242</f>
        <v>23.083871533321847</v>
      </c>
      <c r="I163" s="865">
        <f t="shared" si="106"/>
        <v>58.609714568922897</v>
      </c>
      <c r="J163" s="866">
        <f>'4'!J$242</f>
        <v>27.893512836129712</v>
      </c>
      <c r="K163" s="867">
        <f>'4'!K$242</f>
        <v>21.446906641058028</v>
      </c>
      <c r="L163" s="868">
        <f>'4'!L$242</f>
        <v>9.2692950917351613</v>
      </c>
      <c r="M163" s="869">
        <f>'4'!M$242</f>
        <v>4.6560272928992825</v>
      </c>
      <c r="N163" s="792">
        <f t="shared" si="107"/>
        <v>4.3833795219599692</v>
      </c>
      <c r="O163" s="867">
        <f>'4'!O$242</f>
        <v>4.3833795219599692</v>
      </c>
      <c r="P163" s="870">
        <f>'4'!P$242</f>
        <v>0</v>
      </c>
      <c r="Q163" s="869">
        <f>'4'!Q$242</f>
        <v>0.94599284917379367</v>
      </c>
    </row>
    <row r="164" spans="1:17" ht="26.5" thickBot="1">
      <c r="A164" s="618"/>
      <c r="B164" s="871" t="s">
        <v>205</v>
      </c>
      <c r="C164" s="872" t="s">
        <v>708</v>
      </c>
      <c r="D164" s="873">
        <f t="shared" si="104"/>
        <v>99.999999999999986</v>
      </c>
      <c r="E164" s="874">
        <f t="shared" si="105"/>
        <v>31.404885767044057</v>
      </c>
      <c r="F164" s="875">
        <f>IFERROR(F116/$D$116*100, 0)</f>
        <v>4.6692848078715166</v>
      </c>
      <c r="G164" s="876">
        <f>IFERROR(G116/$D$116*100, 0)</f>
        <v>3.6517294258506858</v>
      </c>
      <c r="H164" s="877">
        <f>IFERROR(H116/$D$116*100, 0)</f>
        <v>23.083871533321854</v>
      </c>
      <c r="I164" s="874">
        <f t="shared" si="106"/>
        <v>58.609714568922897</v>
      </c>
      <c r="J164" s="875">
        <f t="shared" ref="J164:Q164" si="108">IFERROR(J116/$D$116*100, 0)</f>
        <v>27.893512836129712</v>
      </c>
      <c r="K164" s="876">
        <f t="shared" si="108"/>
        <v>21.446906641058025</v>
      </c>
      <c r="L164" s="877">
        <f t="shared" si="108"/>
        <v>9.2692950917351613</v>
      </c>
      <c r="M164" s="874">
        <f t="shared" si="108"/>
        <v>4.6560272928992825</v>
      </c>
      <c r="N164" s="878">
        <f t="shared" si="107"/>
        <v>4.3833795219599683</v>
      </c>
      <c r="O164" s="876">
        <f>IFERROR(O116/$D$116*100, 0)</f>
        <v>4.3833795219599683</v>
      </c>
      <c r="P164" s="879">
        <f t="shared" si="108"/>
        <v>0</v>
      </c>
      <c r="Q164" s="874">
        <f t="shared" si="108"/>
        <v>0.94599284917379367</v>
      </c>
    </row>
  </sheetData>
  <pageMargins left="0.7" right="0.7" top="0.75" bottom="0.75" header="0.3" footer="0.3"/>
  <pageSetup paperSize="9" scale="3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FDDA0-E05D-4F37-8462-03E247FDF20D}">
  <sheetPr>
    <tabColor theme="0" tint="-0.14999847407452621"/>
    <pageSetUpPr fitToPage="1"/>
  </sheetPr>
  <dimension ref="A1:V164"/>
  <sheetViews>
    <sheetView zoomScale="70" zoomScaleNormal="70" workbookViewId="0">
      <selection activeCell="B9" sqref="B9"/>
    </sheetView>
  </sheetViews>
  <sheetFormatPr defaultRowHeight="14.5"/>
  <cols>
    <col min="1" max="1" width="8.7265625" style="129"/>
    <col min="3" max="3" width="61.453125" customWidth="1"/>
    <col min="4" max="4" width="11" customWidth="1"/>
    <col min="5" max="5" width="14.453125" customWidth="1"/>
    <col min="6" max="6" width="14.1796875" customWidth="1"/>
    <col min="7" max="7" width="14.7265625" customWidth="1"/>
    <col min="8" max="8" width="15.54296875" customWidth="1"/>
    <col min="9" max="9" width="13.81640625" customWidth="1"/>
    <col min="10" max="10" width="11.54296875" customWidth="1"/>
    <col min="11" max="11" width="11.81640625" customWidth="1"/>
    <col min="12" max="12" width="12.1796875" customWidth="1"/>
    <col min="13" max="13" width="20.81640625" customWidth="1"/>
    <col min="14" max="14" width="17.26953125" customWidth="1"/>
    <col min="15" max="15" width="11.81640625" customWidth="1"/>
    <col min="16" max="16" width="16.26953125" customWidth="1"/>
    <col min="17" max="17" width="23.26953125" customWidth="1"/>
    <col min="18" max="21" width="9.1796875" style="129" hidden="1" customWidth="1"/>
    <col min="22" max="22" width="8.7265625" style="128"/>
  </cols>
  <sheetData>
    <row r="1" spans="1:22">
      <c r="B1" s="128"/>
      <c r="C1" s="128"/>
      <c r="D1" s="128"/>
      <c r="E1" s="128"/>
      <c r="F1" s="128"/>
      <c r="G1" s="128"/>
      <c r="H1" s="128"/>
      <c r="I1" s="128"/>
      <c r="J1" s="128"/>
      <c r="K1" s="128"/>
      <c r="L1" s="128"/>
      <c r="M1" s="128"/>
      <c r="N1" s="128"/>
      <c r="O1" s="128"/>
      <c r="P1" s="128"/>
      <c r="Q1" s="128"/>
    </row>
    <row r="2" spans="1:22" ht="69">
      <c r="B2" s="128"/>
      <c r="C2" s="32" t="s">
        <v>1331</v>
      </c>
      <c r="D2" s="128"/>
      <c r="E2" s="128"/>
      <c r="F2" s="128"/>
      <c r="G2" s="128"/>
      <c r="H2" s="128"/>
      <c r="I2" s="128"/>
      <c r="J2" s="128"/>
      <c r="K2" s="128"/>
      <c r="L2" s="128"/>
      <c r="M2" s="128"/>
      <c r="N2" s="128"/>
      <c r="O2" s="128"/>
      <c r="P2" s="128"/>
      <c r="Q2" s="589" t="s">
        <v>709</v>
      </c>
    </row>
    <row r="3" spans="1:22">
      <c r="B3" s="128"/>
      <c r="C3" s="32" t="s">
        <v>1332</v>
      </c>
      <c r="D3" s="128"/>
      <c r="E3" s="128"/>
      <c r="F3" s="128"/>
      <c r="G3" s="128"/>
      <c r="H3" s="128"/>
      <c r="I3" s="128"/>
      <c r="J3" s="128"/>
      <c r="K3" s="128"/>
      <c r="L3" s="128"/>
      <c r="M3" s="128"/>
      <c r="N3" s="128"/>
      <c r="O3" s="128"/>
      <c r="P3" s="128"/>
      <c r="Q3" s="128"/>
    </row>
    <row r="4" spans="1:22">
      <c r="B4" s="128"/>
      <c r="C4" s="128"/>
      <c r="D4" s="128"/>
      <c r="E4" s="128"/>
      <c r="F4" s="128"/>
      <c r="G4" s="128"/>
      <c r="H4" s="128"/>
      <c r="I4" s="128"/>
      <c r="J4" s="128"/>
      <c r="K4" s="128"/>
      <c r="L4" s="128"/>
      <c r="M4" s="128"/>
      <c r="N4" s="128"/>
      <c r="O4" s="128"/>
      <c r="P4" s="128"/>
      <c r="Q4" s="128"/>
    </row>
    <row r="5" spans="1:22" ht="15">
      <c r="B5" s="128"/>
      <c r="C5" s="620" t="s">
        <v>710</v>
      </c>
      <c r="D5" s="128"/>
      <c r="E5" s="128"/>
      <c r="F5" s="128"/>
      <c r="G5" s="128"/>
      <c r="H5" s="128"/>
      <c r="I5" s="128"/>
      <c r="J5" s="128"/>
      <c r="K5" s="128"/>
      <c r="L5" s="128"/>
      <c r="M5" s="128"/>
      <c r="N5" s="128"/>
      <c r="O5" s="128"/>
      <c r="P5" s="128"/>
      <c r="Q5" s="128"/>
    </row>
    <row r="6" spans="1:22" ht="15">
      <c r="B6" s="128"/>
      <c r="C6" s="620"/>
      <c r="D6" s="128"/>
      <c r="E6" s="128"/>
      <c r="F6" s="128"/>
      <c r="G6" s="128"/>
      <c r="H6" s="128"/>
      <c r="I6" s="128"/>
      <c r="J6" s="128"/>
      <c r="K6" s="128"/>
      <c r="L6" s="128"/>
      <c r="M6" s="128"/>
      <c r="N6" s="128"/>
      <c r="O6" s="128"/>
      <c r="P6" s="128"/>
      <c r="Q6" s="128"/>
    </row>
    <row r="7" spans="1:22" ht="15">
      <c r="B7" s="128"/>
      <c r="C7" s="620"/>
      <c r="D7" s="128"/>
      <c r="E7" s="128"/>
      <c r="F7" s="128"/>
      <c r="G7" s="128"/>
      <c r="H7" s="128"/>
      <c r="I7" s="128"/>
      <c r="J7" s="128"/>
      <c r="K7" s="128"/>
      <c r="L7" s="128"/>
      <c r="M7" s="128"/>
      <c r="N7" s="128"/>
      <c r="O7" s="128"/>
      <c r="P7" s="128"/>
      <c r="Q7" s="128"/>
    </row>
    <row r="8" spans="1:22" s="129" customFormat="1" ht="15" thickBot="1">
      <c r="D8" s="618"/>
      <c r="E8" s="618"/>
      <c r="F8" s="618" t="s">
        <v>1423</v>
      </c>
      <c r="G8" s="618" t="s">
        <v>1424</v>
      </c>
      <c r="H8" s="618" t="s">
        <v>1425</v>
      </c>
      <c r="I8" s="618"/>
      <c r="J8" s="618" t="s">
        <v>1426</v>
      </c>
      <c r="K8" s="618" t="s">
        <v>1427</v>
      </c>
      <c r="L8" s="618" t="s">
        <v>1428</v>
      </c>
      <c r="M8" s="618" t="s">
        <v>1429</v>
      </c>
      <c r="N8" s="618"/>
      <c r="O8" s="618" t="s">
        <v>1430</v>
      </c>
      <c r="P8" s="618" t="s">
        <v>1431</v>
      </c>
      <c r="Q8" s="618" t="s">
        <v>1432</v>
      </c>
      <c r="V8" s="128"/>
    </row>
    <row r="9" spans="1:22" ht="65.5" thickBot="1">
      <c r="B9" s="622" t="s">
        <v>2</v>
      </c>
      <c r="C9" s="623" t="s">
        <v>589</v>
      </c>
      <c r="D9" s="624" t="s">
        <v>238</v>
      </c>
      <c r="E9" s="625" t="s">
        <v>239</v>
      </c>
      <c r="F9" s="626" t="s">
        <v>240</v>
      </c>
      <c r="G9" s="627" t="s">
        <v>241</v>
      </c>
      <c r="H9" s="628" t="s">
        <v>242</v>
      </c>
      <c r="I9" s="629" t="s">
        <v>243</v>
      </c>
      <c r="J9" s="626" t="s">
        <v>244</v>
      </c>
      <c r="K9" s="627" t="s">
        <v>245</v>
      </c>
      <c r="L9" s="630" t="s">
        <v>246</v>
      </c>
      <c r="M9" s="625" t="s">
        <v>247</v>
      </c>
      <c r="N9" s="629" t="s">
        <v>248</v>
      </c>
      <c r="O9" s="631" t="s">
        <v>590</v>
      </c>
      <c r="P9" s="632" t="s">
        <v>250</v>
      </c>
      <c r="Q9" s="633" t="s">
        <v>251</v>
      </c>
    </row>
    <row r="10" spans="1:22" ht="15.5" thickTop="1" thickBot="1">
      <c r="A10" s="618"/>
      <c r="B10" s="634" t="s">
        <v>62</v>
      </c>
      <c r="C10" s="634" t="s">
        <v>591</v>
      </c>
      <c r="D10" s="880">
        <f>D11+D15+D22+D25+D31+D34</f>
        <v>11975.591225927783</v>
      </c>
      <c r="E10" s="881">
        <f t="shared" ref="E10:Q10" si="0">E11+E15+E22+E25+E31+E34</f>
        <v>4813.494216016783</v>
      </c>
      <c r="F10" s="882">
        <f t="shared" si="0"/>
        <v>283.48615802396904</v>
      </c>
      <c r="G10" s="883">
        <f t="shared" si="0"/>
        <v>647.61682801990332</v>
      </c>
      <c r="H10" s="884">
        <f t="shared" si="0"/>
        <v>3882.3912299729109</v>
      </c>
      <c r="I10" s="880">
        <f t="shared" si="0"/>
        <v>6405.1965137805491</v>
      </c>
      <c r="J10" s="882">
        <f t="shared" si="0"/>
        <v>4692.0719848295812</v>
      </c>
      <c r="K10" s="883">
        <f t="shared" si="0"/>
        <v>1313.2994742355388</v>
      </c>
      <c r="L10" s="884">
        <f t="shared" si="0"/>
        <v>399.82505471542936</v>
      </c>
      <c r="M10" s="885">
        <f t="shared" si="0"/>
        <v>753.64165743036301</v>
      </c>
      <c r="N10" s="880">
        <f>+O10+P10</f>
        <v>3.0048565871913224</v>
      </c>
      <c r="O10" s="885">
        <f>O11+O15+O22+O25+O31+O34</f>
        <v>3.0048565871913224</v>
      </c>
      <c r="P10" s="884">
        <f t="shared" si="0"/>
        <v>0</v>
      </c>
      <c r="Q10" s="881">
        <f t="shared" si="0"/>
        <v>0.25398211289326111</v>
      </c>
    </row>
    <row r="11" spans="1:22" ht="15" thickTop="1">
      <c r="A11" s="618"/>
      <c r="B11" s="643" t="s">
        <v>64</v>
      </c>
      <c r="C11" s="644" t="s">
        <v>6</v>
      </c>
      <c r="D11" s="645">
        <f t="shared" ref="D11:D65" si="1">O11+E11+I11+M11+P11+Q11</f>
        <v>1.8447499999999999</v>
      </c>
      <c r="E11" s="646">
        <f>SUM(F11:H11)</f>
        <v>9.45287061588026E-2</v>
      </c>
      <c r="F11" s="647">
        <f>SUM(F12:F14)</f>
        <v>1.4054547271693267E-2</v>
      </c>
      <c r="G11" s="648">
        <f t="shared" ref="G11:Q11" si="2">SUM(G12:G14)</f>
        <v>1.0991705571810569E-2</v>
      </c>
      <c r="H11" s="649">
        <f t="shared" si="2"/>
        <v>6.9482453315298773E-2</v>
      </c>
      <c r="I11" s="645">
        <f t="shared" ref="I11:I37" si="3">SUM(J11:L11)</f>
        <v>0.17641524085245797</v>
      </c>
      <c r="J11" s="647">
        <f t="shared" si="2"/>
        <v>8.3959473636750437E-2</v>
      </c>
      <c r="K11" s="648">
        <f t="shared" si="2"/>
        <v>6.4555188989584664E-2</v>
      </c>
      <c r="L11" s="649">
        <f t="shared" si="2"/>
        <v>2.7900578226122838E-2</v>
      </c>
      <c r="M11" s="650">
        <f t="shared" si="2"/>
        <v>1.401464215162684E-2</v>
      </c>
      <c r="N11" s="645">
        <f t="shared" ref="N11:N37" si="4">+O11+P11</f>
        <v>1.5569439723610994</v>
      </c>
      <c r="O11" s="650">
        <f>SUM(O12:O14)</f>
        <v>1.5569439723610994</v>
      </c>
      <c r="P11" s="649">
        <f t="shared" si="2"/>
        <v>0</v>
      </c>
      <c r="Q11" s="646">
        <f t="shared" si="2"/>
        <v>2.847438476013119E-3</v>
      </c>
    </row>
    <row r="12" spans="1:22">
      <c r="A12" s="618"/>
      <c r="B12" s="652" t="s">
        <v>66</v>
      </c>
      <c r="C12" s="653" t="s">
        <v>8</v>
      </c>
      <c r="D12" s="645">
        <f t="shared" si="1"/>
        <v>7.2500000000000004E-3</v>
      </c>
      <c r="E12" s="646">
        <f t="shared" ref="E12:E37" si="5">SUM(F12:H12)</f>
        <v>2.2768542181106936E-3</v>
      </c>
      <c r="F12" s="654">
        <f t="shared" ref="F12:H14" si="6">SUM(F40,F68,F118)</f>
        <v>3.3852314857068491E-4</v>
      </c>
      <c r="G12" s="655">
        <f t="shared" si="6"/>
        <v>2.6475038337417481E-4</v>
      </c>
      <c r="H12" s="656">
        <f t="shared" si="6"/>
        <v>1.673580686165834E-3</v>
      </c>
      <c r="I12" s="645">
        <f t="shared" si="3"/>
        <v>4.249204306246911E-3</v>
      </c>
      <c r="J12" s="654">
        <f t="shared" ref="J12:M14" si="7">SUM(J40,J68,J118)</f>
        <v>2.0222796806194042E-3</v>
      </c>
      <c r="K12" s="655">
        <f t="shared" si="7"/>
        <v>1.5549007314767072E-3</v>
      </c>
      <c r="L12" s="656">
        <f t="shared" si="7"/>
        <v>6.7202389415079919E-4</v>
      </c>
      <c r="M12" s="657">
        <f t="shared" si="7"/>
        <v>3.3756197873519798E-4</v>
      </c>
      <c r="N12" s="658">
        <f t="shared" si="4"/>
        <v>3.1779501534209777E-4</v>
      </c>
      <c r="O12" s="657">
        <f t="shared" ref="O12:Q14" si="8">SUM(O40,O68,O118)</f>
        <v>3.1779501534209777E-4</v>
      </c>
      <c r="P12" s="649">
        <f t="shared" si="8"/>
        <v>0</v>
      </c>
      <c r="Q12" s="646">
        <f t="shared" si="8"/>
        <v>6.8584481565100045E-5</v>
      </c>
    </row>
    <row r="13" spans="1:22" s="128" customFormat="1">
      <c r="A13" s="618"/>
      <c r="B13" s="652" t="s">
        <v>68</v>
      </c>
      <c r="C13" s="653" t="s">
        <v>9</v>
      </c>
      <c r="D13" s="645">
        <f t="shared" si="1"/>
        <v>1.8374999999999997</v>
      </c>
      <c r="E13" s="646">
        <f t="shared" si="5"/>
        <v>9.2251851940691909E-2</v>
      </c>
      <c r="F13" s="654">
        <f t="shared" si="6"/>
        <v>1.3716024123122582E-2</v>
      </c>
      <c r="G13" s="655">
        <f t="shared" si="6"/>
        <v>1.0726955188436393E-2</v>
      </c>
      <c r="H13" s="656">
        <f t="shared" si="6"/>
        <v>6.7808872629132932E-2</v>
      </c>
      <c r="I13" s="645">
        <f t="shared" si="3"/>
        <v>0.17216603654621102</v>
      </c>
      <c r="J13" s="654">
        <f t="shared" si="7"/>
        <v>8.1937193956131027E-2</v>
      </c>
      <c r="K13" s="655">
        <f t="shared" si="7"/>
        <v>6.3000288258107953E-2</v>
      </c>
      <c r="L13" s="656">
        <f t="shared" si="7"/>
        <v>2.7228554331972039E-2</v>
      </c>
      <c r="M13" s="657">
        <f t="shared" si="7"/>
        <v>1.3677080172891643E-2</v>
      </c>
      <c r="N13" s="658">
        <f t="shared" si="4"/>
        <v>1.5566261773457573</v>
      </c>
      <c r="O13" s="657">
        <f t="shared" si="8"/>
        <v>1.5566261773457573</v>
      </c>
      <c r="P13" s="649">
        <f t="shared" si="8"/>
        <v>0</v>
      </c>
      <c r="Q13" s="646">
        <f t="shared" si="8"/>
        <v>2.7788539944480191E-3</v>
      </c>
      <c r="R13" s="129"/>
      <c r="S13" s="129"/>
      <c r="T13" s="129"/>
      <c r="U13" s="129"/>
    </row>
    <row r="14" spans="1:22" s="128" customFormat="1">
      <c r="A14" s="618"/>
      <c r="B14" s="652" t="s">
        <v>592</v>
      </c>
      <c r="C14" s="653" t="s">
        <v>11</v>
      </c>
      <c r="D14" s="645">
        <f t="shared" si="1"/>
        <v>0</v>
      </c>
      <c r="E14" s="646">
        <f t="shared" si="5"/>
        <v>0</v>
      </c>
      <c r="F14" s="654">
        <f t="shared" si="6"/>
        <v>0</v>
      </c>
      <c r="G14" s="655">
        <f t="shared" si="6"/>
        <v>0</v>
      </c>
      <c r="H14" s="656">
        <f t="shared" si="6"/>
        <v>0</v>
      </c>
      <c r="I14" s="645">
        <f t="shared" si="3"/>
        <v>0</v>
      </c>
      <c r="J14" s="654">
        <f t="shared" si="7"/>
        <v>0</v>
      </c>
      <c r="K14" s="655">
        <f t="shared" si="7"/>
        <v>0</v>
      </c>
      <c r="L14" s="656">
        <f t="shared" si="7"/>
        <v>0</v>
      </c>
      <c r="M14" s="657">
        <f t="shared" si="7"/>
        <v>0</v>
      </c>
      <c r="N14" s="658">
        <f t="shared" si="4"/>
        <v>0</v>
      </c>
      <c r="O14" s="657">
        <f t="shared" si="8"/>
        <v>0</v>
      </c>
      <c r="P14" s="649">
        <f t="shared" si="8"/>
        <v>0</v>
      </c>
      <c r="Q14" s="646">
        <f t="shared" si="8"/>
        <v>0</v>
      </c>
      <c r="R14" s="129"/>
      <c r="S14" s="129"/>
      <c r="T14" s="129"/>
      <c r="U14" s="129"/>
    </row>
    <row r="15" spans="1:22" s="128" customFormat="1">
      <c r="A15" s="618"/>
      <c r="B15" s="643" t="s">
        <v>70</v>
      </c>
      <c r="C15" s="660" t="s">
        <v>13</v>
      </c>
      <c r="D15" s="645">
        <f t="shared" si="1"/>
        <v>11676.327095007013</v>
      </c>
      <c r="E15" s="646">
        <f t="shared" si="5"/>
        <v>4754.6648249314057</v>
      </c>
      <c r="F15" s="647">
        <f>SUM(F16:F21)</f>
        <v>252.71740859985147</v>
      </c>
      <c r="G15" s="648">
        <f>SUM(G16:G21)</f>
        <v>637.13346568864847</v>
      </c>
      <c r="H15" s="649">
        <f>SUM(H16:H21)</f>
        <v>3864.8139506429056</v>
      </c>
      <c r="I15" s="645">
        <f t="shared" si="3"/>
        <v>6186.0404252317458</v>
      </c>
      <c r="J15" s="647">
        <f t="shared" ref="J15:Q15" si="9">SUM(J16:J21)</f>
        <v>4639.763353501794</v>
      </c>
      <c r="K15" s="648">
        <f t="shared" si="9"/>
        <v>1173.4797724478574</v>
      </c>
      <c r="L15" s="649">
        <f t="shared" si="9"/>
        <v>372.79729928209417</v>
      </c>
      <c r="M15" s="650">
        <f t="shared" si="9"/>
        <v>734.95379018239328</v>
      </c>
      <c r="N15" s="645">
        <f t="shared" si="4"/>
        <v>0.5365031081108772</v>
      </c>
      <c r="O15" s="650">
        <f>SUM(O16:O21)</f>
        <v>0.5365031081108772</v>
      </c>
      <c r="P15" s="649">
        <f t="shared" si="9"/>
        <v>0</v>
      </c>
      <c r="Q15" s="646">
        <f t="shared" si="9"/>
        <v>0.13155155335655444</v>
      </c>
      <c r="R15" s="129"/>
      <c r="S15" s="129"/>
      <c r="T15" s="129"/>
      <c r="U15" s="129"/>
    </row>
    <row r="16" spans="1:22" s="128" customFormat="1">
      <c r="A16" s="618"/>
      <c r="B16" s="652" t="s">
        <v>72</v>
      </c>
      <c r="C16" s="653" t="s">
        <v>15</v>
      </c>
      <c r="D16" s="645">
        <f t="shared" si="1"/>
        <v>1256.7655823271857</v>
      </c>
      <c r="E16" s="646">
        <f t="shared" si="5"/>
        <v>476.80080602460498</v>
      </c>
      <c r="F16" s="654">
        <f t="shared" ref="F16:H21" si="10">SUM(F44,F72,F122)</f>
        <v>1.0341162008759544</v>
      </c>
      <c r="G16" s="655">
        <f t="shared" si="10"/>
        <v>355.30509490350147</v>
      </c>
      <c r="H16" s="656">
        <f t="shared" si="10"/>
        <v>120.4615949202276</v>
      </c>
      <c r="I16" s="645">
        <f t="shared" si="3"/>
        <v>779.15205022205726</v>
      </c>
      <c r="J16" s="654">
        <f t="shared" ref="J16:Q21" si="11">SUM(J44,J72,J122)</f>
        <v>351.89589172984938</v>
      </c>
      <c r="K16" s="655">
        <f t="shared" si="11"/>
        <v>376.40306340956164</v>
      </c>
      <c r="L16" s="656">
        <f t="shared" si="11"/>
        <v>50.85309508264632</v>
      </c>
      <c r="M16" s="657">
        <f t="shared" si="11"/>
        <v>0.57388516904740938</v>
      </c>
      <c r="N16" s="658">
        <f t="shared" si="4"/>
        <v>0.18347715472714124</v>
      </c>
      <c r="O16" s="657">
        <f t="shared" ref="O16:Q20" si="12">SUM(O44,O72,O122)</f>
        <v>0.18347715472714124</v>
      </c>
      <c r="P16" s="649">
        <f t="shared" si="12"/>
        <v>0</v>
      </c>
      <c r="Q16" s="646">
        <f t="shared" si="12"/>
        <v>5.5363756748778727E-2</v>
      </c>
      <c r="R16" s="129"/>
      <c r="S16" s="129"/>
      <c r="T16" s="129"/>
      <c r="U16" s="129"/>
    </row>
    <row r="17" spans="1:21" s="128" customFormat="1">
      <c r="A17" s="618"/>
      <c r="B17" s="652" t="s">
        <v>80</v>
      </c>
      <c r="C17" s="653" t="s">
        <v>593</v>
      </c>
      <c r="D17" s="645">
        <f t="shared" si="1"/>
        <v>119.2641015592515</v>
      </c>
      <c r="E17" s="646">
        <f t="shared" si="5"/>
        <v>15.760918641565594</v>
      </c>
      <c r="F17" s="654">
        <f t="shared" si="10"/>
        <v>5.4408662671623693</v>
      </c>
      <c r="G17" s="655">
        <f t="shared" si="10"/>
        <v>2.893275975796386</v>
      </c>
      <c r="H17" s="656">
        <f t="shared" si="10"/>
        <v>7.4267763986068385</v>
      </c>
      <c r="I17" s="645">
        <f t="shared" si="3"/>
        <v>102.69898487399549</v>
      </c>
      <c r="J17" s="654">
        <f t="shared" si="11"/>
        <v>6.3618076482747785</v>
      </c>
      <c r="K17" s="655">
        <f t="shared" si="11"/>
        <v>86.049197376443729</v>
      </c>
      <c r="L17" s="656">
        <f t="shared" si="11"/>
        <v>10.287979849276979</v>
      </c>
      <c r="M17" s="657">
        <f t="shared" si="11"/>
        <v>0.37498429369891911</v>
      </c>
      <c r="N17" s="658">
        <f t="shared" si="4"/>
        <v>0.35302595338373599</v>
      </c>
      <c r="O17" s="657">
        <f t="shared" si="12"/>
        <v>0.35302595338373599</v>
      </c>
      <c r="P17" s="649">
        <f t="shared" si="12"/>
        <v>0</v>
      </c>
      <c r="Q17" s="646">
        <f t="shared" si="12"/>
        <v>7.6187796607775707E-2</v>
      </c>
      <c r="R17" s="129"/>
      <c r="S17" s="129"/>
      <c r="T17" s="129"/>
      <c r="U17" s="129"/>
    </row>
    <row r="18" spans="1:21" s="128" customFormat="1">
      <c r="A18" s="618"/>
      <c r="B18" s="652" t="s">
        <v>90</v>
      </c>
      <c r="C18" s="653" t="s">
        <v>21</v>
      </c>
      <c r="D18" s="645">
        <f t="shared" si="1"/>
        <v>8596.5746387802847</v>
      </c>
      <c r="E18" s="646">
        <f t="shared" si="5"/>
        <v>3724.7253613512412</v>
      </c>
      <c r="F18" s="654">
        <f t="shared" si="10"/>
        <v>0</v>
      </c>
      <c r="G18" s="655">
        <f t="shared" si="10"/>
        <v>0</v>
      </c>
      <c r="H18" s="656">
        <f t="shared" si="10"/>
        <v>3724.7253613512412</v>
      </c>
      <c r="I18" s="645">
        <f t="shared" si="3"/>
        <v>4137.8443567093964</v>
      </c>
      <c r="J18" s="654">
        <f t="shared" si="11"/>
        <v>4137.8443567093964</v>
      </c>
      <c r="K18" s="655">
        <f t="shared" si="11"/>
        <v>0</v>
      </c>
      <c r="L18" s="656">
        <f t="shared" si="11"/>
        <v>0</v>
      </c>
      <c r="M18" s="657">
        <f t="shared" si="11"/>
        <v>734.00492071964698</v>
      </c>
      <c r="N18" s="658">
        <f t="shared" si="4"/>
        <v>0</v>
      </c>
      <c r="O18" s="657">
        <f t="shared" si="12"/>
        <v>0</v>
      </c>
      <c r="P18" s="649">
        <f t="shared" si="12"/>
        <v>0</v>
      </c>
      <c r="Q18" s="646">
        <f t="shared" si="12"/>
        <v>0</v>
      </c>
      <c r="R18" s="129"/>
      <c r="S18" s="129"/>
      <c r="T18" s="129"/>
      <c r="U18" s="129"/>
    </row>
    <row r="19" spans="1:21" s="128" customFormat="1">
      <c r="A19" s="618"/>
      <c r="B19" s="652" t="s">
        <v>594</v>
      </c>
      <c r="C19" s="653" t="s">
        <v>23</v>
      </c>
      <c r="D19" s="645">
        <f t="shared" si="1"/>
        <v>0</v>
      </c>
      <c r="E19" s="646">
        <f t="shared" si="5"/>
        <v>0</v>
      </c>
      <c r="F19" s="654">
        <f t="shared" si="10"/>
        <v>0</v>
      </c>
      <c r="G19" s="655">
        <f t="shared" si="10"/>
        <v>0</v>
      </c>
      <c r="H19" s="656">
        <f t="shared" si="10"/>
        <v>0</v>
      </c>
      <c r="I19" s="645">
        <f t="shared" si="3"/>
        <v>0</v>
      </c>
      <c r="J19" s="654">
        <f t="shared" si="11"/>
        <v>0</v>
      </c>
      <c r="K19" s="655">
        <f t="shared" si="11"/>
        <v>0</v>
      </c>
      <c r="L19" s="656">
        <f t="shared" si="11"/>
        <v>0</v>
      </c>
      <c r="M19" s="657">
        <f t="shared" si="11"/>
        <v>0</v>
      </c>
      <c r="N19" s="658">
        <f t="shared" si="4"/>
        <v>0</v>
      </c>
      <c r="O19" s="657">
        <f t="shared" si="12"/>
        <v>0</v>
      </c>
      <c r="P19" s="649">
        <f t="shared" si="12"/>
        <v>0</v>
      </c>
      <c r="Q19" s="646">
        <f t="shared" si="12"/>
        <v>0</v>
      </c>
      <c r="R19" s="129"/>
      <c r="S19" s="129"/>
      <c r="T19" s="129"/>
      <c r="U19" s="129"/>
    </row>
    <row r="20" spans="1:21" s="128" customFormat="1">
      <c r="A20" s="618"/>
      <c r="B20" s="652" t="s">
        <v>595</v>
      </c>
      <c r="C20" s="653" t="s">
        <v>25</v>
      </c>
      <c r="D20" s="645">
        <f t="shared" si="1"/>
        <v>0</v>
      </c>
      <c r="E20" s="646">
        <f t="shared" si="5"/>
        <v>0</v>
      </c>
      <c r="F20" s="654">
        <f t="shared" si="10"/>
        <v>0</v>
      </c>
      <c r="G20" s="655">
        <f t="shared" si="10"/>
        <v>0</v>
      </c>
      <c r="H20" s="656">
        <f t="shared" si="10"/>
        <v>0</v>
      </c>
      <c r="I20" s="645">
        <f t="shared" si="3"/>
        <v>0</v>
      </c>
      <c r="J20" s="654">
        <f t="shared" si="11"/>
        <v>0</v>
      </c>
      <c r="K20" s="655">
        <f t="shared" si="11"/>
        <v>0</v>
      </c>
      <c r="L20" s="656">
        <f t="shared" si="11"/>
        <v>0</v>
      </c>
      <c r="M20" s="657">
        <f t="shared" si="11"/>
        <v>0</v>
      </c>
      <c r="N20" s="658">
        <f t="shared" si="4"/>
        <v>0</v>
      </c>
      <c r="O20" s="657">
        <f t="shared" si="12"/>
        <v>0</v>
      </c>
      <c r="P20" s="649">
        <f t="shared" si="12"/>
        <v>0</v>
      </c>
      <c r="Q20" s="646">
        <f t="shared" si="12"/>
        <v>0</v>
      </c>
      <c r="R20" s="129"/>
      <c r="S20" s="129"/>
      <c r="T20" s="129"/>
      <c r="U20" s="129"/>
    </row>
    <row r="21" spans="1:21" s="128" customFormat="1" ht="39">
      <c r="A21" s="618"/>
      <c r="B21" s="652" t="s">
        <v>596</v>
      </c>
      <c r="C21" s="653" t="s">
        <v>597</v>
      </c>
      <c r="D21" s="645">
        <f t="shared" si="1"/>
        <v>1703.7227723402902</v>
      </c>
      <c r="E21" s="646">
        <f t="shared" si="5"/>
        <v>537.37773891399399</v>
      </c>
      <c r="F21" s="654">
        <f t="shared" si="10"/>
        <v>246.24242613181315</v>
      </c>
      <c r="G21" s="655">
        <f t="shared" si="10"/>
        <v>278.93509480935063</v>
      </c>
      <c r="H21" s="656">
        <f t="shared" si="10"/>
        <v>12.200217972830226</v>
      </c>
      <c r="I21" s="645">
        <f t="shared" si="3"/>
        <v>1166.3450334262961</v>
      </c>
      <c r="J21" s="654">
        <f t="shared" si="11"/>
        <v>143.66129741427315</v>
      </c>
      <c r="K21" s="655">
        <f t="shared" si="11"/>
        <v>711.02751166185203</v>
      </c>
      <c r="L21" s="656">
        <f t="shared" si="11"/>
        <v>311.65622435017087</v>
      </c>
      <c r="M21" s="657">
        <f t="shared" si="11"/>
        <v>0</v>
      </c>
      <c r="N21" s="658">
        <f t="shared" si="4"/>
        <v>0</v>
      </c>
      <c r="O21" s="657">
        <f>SUM(O49,O77,O127)</f>
        <v>0</v>
      </c>
      <c r="P21" s="649">
        <f t="shared" si="11"/>
        <v>0</v>
      </c>
      <c r="Q21" s="646">
        <f t="shared" si="11"/>
        <v>0</v>
      </c>
      <c r="R21" s="129"/>
      <c r="S21" s="129"/>
      <c r="T21" s="129"/>
      <c r="U21" s="129"/>
    </row>
    <row r="22" spans="1:21" s="128" customFormat="1">
      <c r="A22" s="618"/>
      <c r="B22" s="643" t="s">
        <v>98</v>
      </c>
      <c r="C22" s="661" t="s">
        <v>29</v>
      </c>
      <c r="D22" s="645">
        <f t="shared" si="1"/>
        <v>215.42217609471066</v>
      </c>
      <c r="E22" s="646">
        <f t="shared" si="5"/>
        <v>27.182080661993876</v>
      </c>
      <c r="F22" s="647">
        <f>SUM(F23:F24)</f>
        <v>22.762792084983367</v>
      </c>
      <c r="G22" s="648">
        <f t="shared" ref="G22:Q22" si="13">SUM(G23:G24)</f>
        <v>1.1764380775107652</v>
      </c>
      <c r="H22" s="649">
        <f t="shared" si="13"/>
        <v>3.2428504994997431</v>
      </c>
      <c r="I22" s="645">
        <f t="shared" si="3"/>
        <v>188.21524817996769</v>
      </c>
      <c r="J22" s="647">
        <f t="shared" si="13"/>
        <v>42.41264742743224</v>
      </c>
      <c r="K22" s="648">
        <f t="shared" si="13"/>
        <v>122.96469099536125</v>
      </c>
      <c r="L22" s="649">
        <f t="shared" si="13"/>
        <v>22.837909757174202</v>
      </c>
      <c r="M22" s="650">
        <f t="shared" si="13"/>
        <v>2.377709276846501E-2</v>
      </c>
      <c r="N22" s="645">
        <f t="shared" si="4"/>
        <v>6.9126787667561954E-5</v>
      </c>
      <c r="O22" s="650">
        <f>SUM(O23:O24)</f>
        <v>6.9126787667561954E-5</v>
      </c>
      <c r="P22" s="649">
        <f t="shared" si="13"/>
        <v>0</v>
      </c>
      <c r="Q22" s="646">
        <f t="shared" si="13"/>
        <v>1.0010331929759745E-3</v>
      </c>
      <c r="R22" s="129"/>
      <c r="S22" s="129"/>
      <c r="T22" s="129"/>
      <c r="U22" s="129"/>
    </row>
    <row r="23" spans="1:21" s="128" customFormat="1" ht="52.5">
      <c r="A23" s="618"/>
      <c r="B23" s="652" t="s">
        <v>100</v>
      </c>
      <c r="C23" s="662" t="s">
        <v>31</v>
      </c>
      <c r="D23" s="645">
        <f t="shared" si="1"/>
        <v>176.89990776137736</v>
      </c>
      <c r="E23" s="646">
        <f t="shared" si="5"/>
        <v>27.06941399532721</v>
      </c>
      <c r="F23" s="654">
        <f>SUM(F51,F79,F129)</f>
        <v>22.762792084983367</v>
      </c>
      <c r="G23" s="655">
        <f>SUM(G51,G79,G129)</f>
        <v>1.1764380775107652</v>
      </c>
      <c r="H23" s="656">
        <f>SUM(H51,H79,H129)</f>
        <v>3.1301838328330764</v>
      </c>
      <c r="I23" s="645">
        <f t="shared" si="3"/>
        <v>149.80564651330104</v>
      </c>
      <c r="J23" s="654">
        <f t="shared" ref="J23:Q23" si="14">SUM(J51,J79,J129)</f>
        <v>37.866545760765575</v>
      </c>
      <c r="K23" s="655">
        <f t="shared" si="14"/>
        <v>89.10119099536125</v>
      </c>
      <c r="L23" s="656">
        <f t="shared" si="14"/>
        <v>22.837909757174202</v>
      </c>
      <c r="M23" s="657">
        <f t="shared" si="14"/>
        <v>2.377709276846501E-2</v>
      </c>
      <c r="N23" s="658">
        <f t="shared" si="4"/>
        <v>6.9126787667561954E-5</v>
      </c>
      <c r="O23" s="657">
        <f>SUM(O51,O79,O129)</f>
        <v>6.9126787667561954E-5</v>
      </c>
      <c r="P23" s="649">
        <f t="shared" si="14"/>
        <v>0</v>
      </c>
      <c r="Q23" s="646">
        <f t="shared" si="14"/>
        <v>1.0010331929759745E-3</v>
      </c>
      <c r="R23" s="129"/>
      <c r="S23" s="129"/>
      <c r="T23" s="129"/>
      <c r="U23" s="129"/>
    </row>
    <row r="24" spans="1:21" s="128" customFormat="1">
      <c r="A24" s="618"/>
      <c r="B24" s="652" t="s">
        <v>102</v>
      </c>
      <c r="C24" s="662" t="s">
        <v>33</v>
      </c>
      <c r="D24" s="645">
        <f t="shared" si="1"/>
        <v>38.522268333333336</v>
      </c>
      <c r="E24" s="646">
        <f t="shared" si="5"/>
        <v>0.11266666666666668</v>
      </c>
      <c r="F24" s="654">
        <f>SUM(F52,F80)</f>
        <v>0</v>
      </c>
      <c r="G24" s="655">
        <f>SUM(G52,G80)</f>
        <v>0</v>
      </c>
      <c r="H24" s="656">
        <f>SUM(H52,H80)</f>
        <v>0.11266666666666668</v>
      </c>
      <c r="I24" s="645">
        <f t="shared" si="3"/>
        <v>38.409601666666667</v>
      </c>
      <c r="J24" s="654">
        <f t="shared" ref="J24:Q24" si="15">SUM(J52,J80)</f>
        <v>4.546101666666666</v>
      </c>
      <c r="K24" s="655">
        <f t="shared" si="15"/>
        <v>33.863500000000002</v>
      </c>
      <c r="L24" s="656">
        <f t="shared" si="15"/>
        <v>0</v>
      </c>
      <c r="M24" s="657">
        <f t="shared" si="15"/>
        <v>0</v>
      </c>
      <c r="N24" s="658">
        <f t="shared" si="4"/>
        <v>0</v>
      </c>
      <c r="O24" s="657">
        <f>SUM(O52,O80)</f>
        <v>0</v>
      </c>
      <c r="P24" s="649">
        <f t="shared" si="15"/>
        <v>0</v>
      </c>
      <c r="Q24" s="646">
        <f t="shared" si="15"/>
        <v>0</v>
      </c>
      <c r="R24" s="129"/>
      <c r="S24" s="129"/>
      <c r="T24" s="129"/>
      <c r="U24" s="129"/>
    </row>
    <row r="25" spans="1:21" s="128" customFormat="1">
      <c r="A25" s="618"/>
      <c r="B25" s="643" t="s">
        <v>257</v>
      </c>
      <c r="C25" s="661" t="s">
        <v>35</v>
      </c>
      <c r="D25" s="645">
        <f t="shared" si="1"/>
        <v>40.576138742931278</v>
      </c>
      <c r="E25" s="646">
        <f t="shared" si="5"/>
        <v>24.355873001174082</v>
      </c>
      <c r="F25" s="647">
        <f>SUM(F26:F30)</f>
        <v>7.5080580208951044</v>
      </c>
      <c r="G25" s="648">
        <f t="shared" ref="G25:Q25" si="16">SUM(G26:G30)</f>
        <v>8.6311597322170641</v>
      </c>
      <c r="H25" s="649">
        <f t="shared" si="16"/>
        <v>8.2166552480619135</v>
      </c>
      <c r="I25" s="645">
        <f t="shared" si="3"/>
        <v>15.725017501456273</v>
      </c>
      <c r="J25" s="647">
        <f t="shared" si="16"/>
        <v>3.6518576737548267</v>
      </c>
      <c r="K25" s="648">
        <f t="shared" si="16"/>
        <v>11.796206618892288</v>
      </c>
      <c r="L25" s="649">
        <f t="shared" si="16"/>
        <v>0.27695320880915852</v>
      </c>
      <c r="M25" s="650">
        <f t="shared" si="16"/>
        <v>0.20557716541586846</v>
      </c>
      <c r="N25" s="645">
        <f t="shared" si="4"/>
        <v>0.27280869112239703</v>
      </c>
      <c r="O25" s="650">
        <f>SUM(O26:O30)</f>
        <v>0.27280869112239703</v>
      </c>
      <c r="P25" s="649">
        <f t="shared" si="16"/>
        <v>0</v>
      </c>
      <c r="Q25" s="646">
        <f t="shared" si="16"/>
        <v>1.6862383762655635E-2</v>
      </c>
      <c r="R25" s="129"/>
      <c r="S25" s="129"/>
      <c r="T25" s="129"/>
      <c r="U25" s="129"/>
    </row>
    <row r="26" spans="1:21" s="128" customFormat="1">
      <c r="A26" s="618"/>
      <c r="B26" s="652" t="s">
        <v>598</v>
      </c>
      <c r="C26" s="662" t="s">
        <v>37</v>
      </c>
      <c r="D26" s="645">
        <f t="shared" si="1"/>
        <v>0</v>
      </c>
      <c r="E26" s="663">
        <f t="shared" si="5"/>
        <v>0</v>
      </c>
      <c r="F26" s="664">
        <f>SUM(F54,F82,F131)</f>
        <v>0</v>
      </c>
      <c r="G26" s="665">
        <f>SUM(G54,G82,G131)</f>
        <v>0</v>
      </c>
      <c r="H26" s="666">
        <f>SUM(H54,H82,H131)</f>
        <v>0</v>
      </c>
      <c r="I26" s="667">
        <f t="shared" si="3"/>
        <v>0</v>
      </c>
      <c r="J26" s="664">
        <f>SUM(J54,J82,J131)</f>
        <v>0</v>
      </c>
      <c r="K26" s="665">
        <f>SUM(K54,K82,K131)</f>
        <v>0</v>
      </c>
      <c r="L26" s="666">
        <f>SUM(L54,L82,L131)</f>
        <v>0</v>
      </c>
      <c r="M26" s="668">
        <f>SUM(M54,M82,M131)</f>
        <v>0</v>
      </c>
      <c r="N26" s="372">
        <f t="shared" si="4"/>
        <v>0</v>
      </c>
      <c r="O26" s="657">
        <f>SUM(O54,O82,O131)</f>
        <v>0</v>
      </c>
      <c r="P26" s="666">
        <f>SUM(P54,P82,P131)</f>
        <v>0</v>
      </c>
      <c r="Q26" s="886">
        <f>SUM(Q54,Q82,Q131)</f>
        <v>0</v>
      </c>
      <c r="R26" s="129"/>
      <c r="S26" s="129"/>
      <c r="T26" s="129"/>
      <c r="U26" s="129"/>
    </row>
    <row r="27" spans="1:21" s="128" customFormat="1">
      <c r="A27" s="618"/>
      <c r="B27" s="652" t="s">
        <v>599</v>
      </c>
      <c r="C27" s="670" t="s">
        <v>40</v>
      </c>
      <c r="D27" s="645">
        <f t="shared" si="1"/>
        <v>0</v>
      </c>
      <c r="E27" s="663">
        <f t="shared" si="5"/>
        <v>0</v>
      </c>
      <c r="F27" s="664">
        <f t="shared" ref="F27:H30" si="17">SUM(F55,F83,F132)</f>
        <v>0</v>
      </c>
      <c r="G27" s="665">
        <f t="shared" si="17"/>
        <v>0</v>
      </c>
      <c r="H27" s="666">
        <f t="shared" si="17"/>
        <v>0</v>
      </c>
      <c r="I27" s="667">
        <f t="shared" si="3"/>
        <v>0</v>
      </c>
      <c r="J27" s="664">
        <f t="shared" ref="J27:Q30" si="18">SUM(J55,J83,J132)</f>
        <v>0</v>
      </c>
      <c r="K27" s="665">
        <f t="shared" si="18"/>
        <v>0</v>
      </c>
      <c r="L27" s="666">
        <f t="shared" si="18"/>
        <v>0</v>
      </c>
      <c r="M27" s="668">
        <f t="shared" si="18"/>
        <v>0</v>
      </c>
      <c r="N27" s="372">
        <f t="shared" si="4"/>
        <v>0</v>
      </c>
      <c r="O27" s="657">
        <f t="shared" ref="O27:Q29" si="19">SUM(O55,O83,O132)</f>
        <v>0</v>
      </c>
      <c r="P27" s="666">
        <f t="shared" si="19"/>
        <v>0</v>
      </c>
      <c r="Q27" s="886">
        <f t="shared" si="19"/>
        <v>0</v>
      </c>
      <c r="R27" s="129"/>
      <c r="S27" s="129"/>
      <c r="T27" s="129"/>
      <c r="U27" s="129"/>
    </row>
    <row r="28" spans="1:21" s="128" customFormat="1">
      <c r="A28" s="618"/>
      <c r="B28" s="652" t="s">
        <v>600</v>
      </c>
      <c r="C28" s="670" t="s">
        <v>43</v>
      </c>
      <c r="D28" s="645">
        <f t="shared" si="1"/>
        <v>0</v>
      </c>
      <c r="E28" s="663">
        <f t="shared" si="5"/>
        <v>0</v>
      </c>
      <c r="F28" s="664">
        <f t="shared" si="17"/>
        <v>0</v>
      </c>
      <c r="G28" s="665">
        <f t="shared" si="17"/>
        <v>0</v>
      </c>
      <c r="H28" s="666">
        <f t="shared" si="17"/>
        <v>0</v>
      </c>
      <c r="I28" s="667">
        <f t="shared" si="3"/>
        <v>0</v>
      </c>
      <c r="J28" s="664">
        <f t="shared" si="18"/>
        <v>0</v>
      </c>
      <c r="K28" s="665">
        <f t="shared" si="18"/>
        <v>0</v>
      </c>
      <c r="L28" s="666">
        <f t="shared" si="18"/>
        <v>0</v>
      </c>
      <c r="M28" s="668">
        <f t="shared" si="18"/>
        <v>0</v>
      </c>
      <c r="N28" s="372">
        <f t="shared" si="4"/>
        <v>0</v>
      </c>
      <c r="O28" s="657">
        <f t="shared" si="19"/>
        <v>0</v>
      </c>
      <c r="P28" s="666">
        <f t="shared" si="19"/>
        <v>0</v>
      </c>
      <c r="Q28" s="886">
        <f t="shared" si="19"/>
        <v>0</v>
      </c>
      <c r="R28" s="129"/>
      <c r="S28" s="129"/>
      <c r="T28" s="129"/>
      <c r="U28" s="129"/>
    </row>
    <row r="29" spans="1:21" s="128" customFormat="1" ht="26.5">
      <c r="A29" s="618"/>
      <c r="B29" s="652" t="s">
        <v>601</v>
      </c>
      <c r="C29" s="670" t="s">
        <v>45</v>
      </c>
      <c r="D29" s="645">
        <f t="shared" si="1"/>
        <v>8.2625000000000004E-2</v>
      </c>
      <c r="E29" s="663">
        <f t="shared" si="5"/>
        <v>8.2625000000000004E-2</v>
      </c>
      <c r="F29" s="664">
        <f t="shared" si="17"/>
        <v>8.2625000000000004E-2</v>
      </c>
      <c r="G29" s="665">
        <f t="shared" si="17"/>
        <v>0</v>
      </c>
      <c r="H29" s="666">
        <f t="shared" si="17"/>
        <v>0</v>
      </c>
      <c r="I29" s="667">
        <f t="shared" si="3"/>
        <v>0</v>
      </c>
      <c r="J29" s="664">
        <f t="shared" si="18"/>
        <v>0</v>
      </c>
      <c r="K29" s="665">
        <f t="shared" si="18"/>
        <v>0</v>
      </c>
      <c r="L29" s="666">
        <f t="shared" si="18"/>
        <v>0</v>
      </c>
      <c r="M29" s="668">
        <f t="shared" si="18"/>
        <v>0</v>
      </c>
      <c r="N29" s="372">
        <f t="shared" si="4"/>
        <v>0</v>
      </c>
      <c r="O29" s="657">
        <f t="shared" si="19"/>
        <v>0</v>
      </c>
      <c r="P29" s="666">
        <f t="shared" si="19"/>
        <v>0</v>
      </c>
      <c r="Q29" s="886">
        <f t="shared" si="19"/>
        <v>0</v>
      </c>
      <c r="R29" s="129"/>
      <c r="S29" s="129"/>
      <c r="T29" s="129"/>
      <c r="U29" s="129"/>
    </row>
    <row r="30" spans="1:21" s="128" customFormat="1" ht="26.5">
      <c r="A30" s="618"/>
      <c r="B30" s="652" t="s">
        <v>602</v>
      </c>
      <c r="C30" s="671" t="s">
        <v>603</v>
      </c>
      <c r="D30" s="645">
        <f t="shared" si="1"/>
        <v>40.493513742931277</v>
      </c>
      <c r="E30" s="663">
        <f t="shared" si="5"/>
        <v>24.273248001174082</v>
      </c>
      <c r="F30" s="664">
        <f t="shared" si="17"/>
        <v>7.4254330208951043</v>
      </c>
      <c r="G30" s="665">
        <f t="shared" si="17"/>
        <v>8.6311597322170641</v>
      </c>
      <c r="H30" s="666">
        <f t="shared" si="17"/>
        <v>8.2166552480619135</v>
      </c>
      <c r="I30" s="667">
        <f t="shared" si="3"/>
        <v>15.725017501456273</v>
      </c>
      <c r="J30" s="664">
        <f t="shared" si="18"/>
        <v>3.6518576737548267</v>
      </c>
      <c r="K30" s="665">
        <f t="shared" si="18"/>
        <v>11.796206618892288</v>
      </c>
      <c r="L30" s="666">
        <f t="shared" si="18"/>
        <v>0.27695320880915852</v>
      </c>
      <c r="M30" s="668">
        <f t="shared" si="18"/>
        <v>0.20557716541586846</v>
      </c>
      <c r="N30" s="372">
        <f t="shared" si="4"/>
        <v>0.27280869112239703</v>
      </c>
      <c r="O30" s="657">
        <f>SUM(O58,O86,O135)</f>
        <v>0.27280869112239703</v>
      </c>
      <c r="P30" s="666">
        <f t="shared" si="18"/>
        <v>0</v>
      </c>
      <c r="Q30" s="886">
        <f t="shared" si="18"/>
        <v>1.6862383762655635E-2</v>
      </c>
      <c r="R30" s="129"/>
      <c r="S30" s="129"/>
      <c r="T30" s="129"/>
      <c r="U30" s="129"/>
    </row>
    <row r="31" spans="1:21" s="128" customFormat="1">
      <c r="A31" s="618"/>
      <c r="B31" s="643" t="s">
        <v>259</v>
      </c>
      <c r="C31" s="672" t="s">
        <v>51</v>
      </c>
      <c r="D31" s="673">
        <f t="shared" si="1"/>
        <v>38.091446659107149</v>
      </c>
      <c r="E31" s="674">
        <f t="shared" si="5"/>
        <v>6.4270806302217975</v>
      </c>
      <c r="F31" s="675">
        <f>SUM(F32:F33)</f>
        <v>0.4264856981854514</v>
      </c>
      <c r="G31" s="676">
        <f>SUM(G32:G33)</f>
        <v>0.42819682749866028</v>
      </c>
      <c r="H31" s="677">
        <f>SUM(H32:H33)</f>
        <v>5.5723981045376858</v>
      </c>
      <c r="I31" s="678">
        <f t="shared" si="3"/>
        <v>12.655032153682175</v>
      </c>
      <c r="J31" s="675">
        <f t="shared" ref="J31:Q31" si="20">SUM(J32:J33)</f>
        <v>5.8163877513418623</v>
      </c>
      <c r="K31" s="676">
        <f t="shared" si="20"/>
        <v>3.3637458455455356</v>
      </c>
      <c r="L31" s="677">
        <f t="shared" si="20"/>
        <v>3.4748985567947765</v>
      </c>
      <c r="M31" s="679">
        <f t="shared" si="20"/>
        <v>18.38689200192454</v>
      </c>
      <c r="N31" s="678">
        <f t="shared" si="4"/>
        <v>0.532346647754112</v>
      </c>
      <c r="O31" s="679">
        <f>SUM(O32:O33)</f>
        <v>0.532346647754112</v>
      </c>
      <c r="P31" s="677">
        <f t="shared" si="20"/>
        <v>0</v>
      </c>
      <c r="Q31" s="674">
        <f t="shared" si="20"/>
        <v>9.0095225524522024E-2</v>
      </c>
      <c r="R31" s="129"/>
      <c r="S31" s="129"/>
      <c r="T31" s="129"/>
      <c r="U31" s="129"/>
    </row>
    <row r="32" spans="1:21" s="128" customFormat="1">
      <c r="A32" s="618"/>
      <c r="B32" s="681" t="s">
        <v>261</v>
      </c>
      <c r="C32" s="682" t="s">
        <v>53</v>
      </c>
      <c r="D32" s="683">
        <f t="shared" si="1"/>
        <v>12.782830815018315</v>
      </c>
      <c r="E32" s="684">
        <f t="shared" si="5"/>
        <v>3.4988589705363671</v>
      </c>
      <c r="F32" s="685">
        <f t="shared" ref="F32:H33" si="21">SUM(F60,F88,F137)</f>
        <v>0.4150429272059396</v>
      </c>
      <c r="G32" s="686">
        <f t="shared" si="21"/>
        <v>0.40690339114105678</v>
      </c>
      <c r="H32" s="687">
        <f t="shared" si="21"/>
        <v>2.6769126521893707</v>
      </c>
      <c r="I32" s="416">
        <f t="shared" si="3"/>
        <v>7.8833688282514842</v>
      </c>
      <c r="J32" s="685">
        <f t="shared" ref="J32:M33" si="22">SUM(J60,J88,J137)</f>
        <v>3.4874689722173322</v>
      </c>
      <c r="K32" s="686">
        <f t="shared" si="22"/>
        <v>3.2201639416580092</v>
      </c>
      <c r="L32" s="687">
        <f t="shared" si="22"/>
        <v>1.1757359143761419</v>
      </c>
      <c r="M32" s="688">
        <f t="shared" si="22"/>
        <v>0.78115394359509294</v>
      </c>
      <c r="N32" s="689">
        <f t="shared" si="4"/>
        <v>0.53215332834548135</v>
      </c>
      <c r="O32" s="657">
        <f t="shared" ref="O32:Q33" si="23">SUM(O60,O88,O137)</f>
        <v>0.53215332834548135</v>
      </c>
      <c r="P32" s="687">
        <f t="shared" si="23"/>
        <v>0</v>
      </c>
      <c r="Q32" s="887">
        <f t="shared" si="23"/>
        <v>8.7295744289889898E-2</v>
      </c>
      <c r="R32" s="129"/>
      <c r="S32" s="129"/>
      <c r="T32" s="129"/>
      <c r="U32" s="129"/>
    </row>
    <row r="33" spans="1:21" s="128" customFormat="1" ht="26.5">
      <c r="A33" s="618"/>
      <c r="B33" s="681" t="s">
        <v>263</v>
      </c>
      <c r="C33" s="691" t="s">
        <v>55</v>
      </c>
      <c r="D33" s="673">
        <f t="shared" si="1"/>
        <v>25.30861584408883</v>
      </c>
      <c r="E33" s="674">
        <f t="shared" si="5"/>
        <v>2.9282216596854305</v>
      </c>
      <c r="F33" s="520">
        <f t="shared" si="21"/>
        <v>1.1442770979511779E-2</v>
      </c>
      <c r="G33" s="521">
        <f t="shared" si="21"/>
        <v>2.1293436357603484E-2</v>
      </c>
      <c r="H33" s="522">
        <f t="shared" si="21"/>
        <v>2.8954854523483151</v>
      </c>
      <c r="I33" s="678">
        <f t="shared" si="3"/>
        <v>4.7716633254306915</v>
      </c>
      <c r="J33" s="520">
        <f t="shared" si="22"/>
        <v>2.3289187791245305</v>
      </c>
      <c r="K33" s="521">
        <f t="shared" si="22"/>
        <v>0.14358190388752612</v>
      </c>
      <c r="L33" s="522">
        <f t="shared" si="22"/>
        <v>2.2991626424186347</v>
      </c>
      <c r="M33" s="692">
        <f t="shared" si="22"/>
        <v>17.605738058329447</v>
      </c>
      <c r="N33" s="372">
        <f t="shared" si="4"/>
        <v>1.933194086306226E-4</v>
      </c>
      <c r="O33" s="657">
        <f t="shared" si="23"/>
        <v>1.933194086306226E-4</v>
      </c>
      <c r="P33" s="522">
        <f t="shared" si="23"/>
        <v>0</v>
      </c>
      <c r="Q33" s="519">
        <f t="shared" si="23"/>
        <v>2.7994812346321275E-3</v>
      </c>
      <c r="R33" s="129"/>
      <c r="S33" s="129"/>
      <c r="T33" s="129"/>
      <c r="U33" s="129"/>
    </row>
    <row r="34" spans="1:21" s="128" customFormat="1">
      <c r="A34" s="618"/>
      <c r="B34" s="694" t="s">
        <v>267</v>
      </c>
      <c r="C34" s="695" t="s">
        <v>604</v>
      </c>
      <c r="D34" s="673">
        <f t="shared" si="1"/>
        <v>3.3296194240196075</v>
      </c>
      <c r="E34" s="674">
        <f t="shared" si="5"/>
        <v>0.76982808582923412</v>
      </c>
      <c r="F34" s="675">
        <f>SUM(F35:F37)</f>
        <v>5.735907278198981E-2</v>
      </c>
      <c r="G34" s="676">
        <f t="shared" ref="G34:Q34" si="24">SUM(G35:G37)</f>
        <v>0.23657598845662342</v>
      </c>
      <c r="H34" s="677">
        <f t="shared" si="24"/>
        <v>0.47589302459062094</v>
      </c>
      <c r="I34" s="678">
        <f t="shared" si="3"/>
        <v>2.3843754728454756</v>
      </c>
      <c r="J34" s="675">
        <f t="shared" si="24"/>
        <v>0.3437790016216743</v>
      </c>
      <c r="K34" s="676">
        <f t="shared" si="24"/>
        <v>1.6305031388928817</v>
      </c>
      <c r="L34" s="677">
        <f t="shared" si="24"/>
        <v>0.41009333233091938</v>
      </c>
      <c r="M34" s="679">
        <f t="shared" si="24"/>
        <v>5.7606345709188711E-2</v>
      </c>
      <c r="N34" s="678">
        <f t="shared" si="4"/>
        <v>0.10618504105516946</v>
      </c>
      <c r="O34" s="679">
        <f>SUM(O35:O37)</f>
        <v>0.10618504105516946</v>
      </c>
      <c r="P34" s="677">
        <f t="shared" si="24"/>
        <v>0</v>
      </c>
      <c r="Q34" s="674">
        <f t="shared" si="24"/>
        <v>1.1624478580539912E-2</v>
      </c>
      <c r="R34" s="129"/>
      <c r="S34" s="129"/>
      <c r="T34" s="129"/>
      <c r="U34" s="129"/>
    </row>
    <row r="35" spans="1:21" s="128" customFormat="1">
      <c r="A35" s="618"/>
      <c r="B35" s="696" t="s">
        <v>269</v>
      </c>
      <c r="C35" s="697" t="s">
        <v>1433</v>
      </c>
      <c r="D35" s="673">
        <f t="shared" si="1"/>
        <v>0.99964588235294116</v>
      </c>
      <c r="E35" s="674">
        <f t="shared" si="5"/>
        <v>1.3628782294766192E-3</v>
      </c>
      <c r="F35" s="520">
        <f>SUM(F63,F91,F140)</f>
        <v>8.5197310863742453E-5</v>
      </c>
      <c r="G35" s="521">
        <f t="shared" ref="F35:H37" si="25">SUM(G63,G91,G140)</f>
        <v>1.5854057727488161E-4</v>
      </c>
      <c r="H35" s="522">
        <f t="shared" si="25"/>
        <v>1.1191403413379952E-3</v>
      </c>
      <c r="I35" s="678">
        <f t="shared" si="3"/>
        <v>0.99776563305256505</v>
      </c>
      <c r="J35" s="520">
        <f t="shared" ref="J35:M37" si="26">SUM(J63,J91,J140)</f>
        <v>1.6346162683640022E-3</v>
      </c>
      <c r="K35" s="521">
        <f t="shared" si="26"/>
        <v>0.99556904106722199</v>
      </c>
      <c r="L35" s="522">
        <f t="shared" si="26"/>
        <v>5.6197571697899835E-4</v>
      </c>
      <c r="M35" s="692">
        <f t="shared" si="26"/>
        <v>4.9508813198426431E-4</v>
      </c>
      <c r="N35" s="523">
        <f t="shared" si="4"/>
        <v>1.4393623522298908E-6</v>
      </c>
      <c r="O35" s="692">
        <f t="shared" ref="O35:Q37" si="27">SUM(O63,O91,O140)</f>
        <v>1.4393623522298908E-6</v>
      </c>
      <c r="P35" s="522">
        <f t="shared" si="27"/>
        <v>0</v>
      </c>
      <c r="Q35" s="519">
        <f t="shared" si="27"/>
        <v>2.0843576562985899E-5</v>
      </c>
      <c r="R35" s="129"/>
      <c r="S35" s="129"/>
      <c r="T35" s="129"/>
      <c r="U35" s="129"/>
    </row>
    <row r="36" spans="1:21" s="128" customFormat="1">
      <c r="A36" s="618"/>
      <c r="B36" s="696" t="s">
        <v>605</v>
      </c>
      <c r="C36" s="697" t="s">
        <v>47</v>
      </c>
      <c r="D36" s="673">
        <f t="shared" si="1"/>
        <v>2.3299735416666665</v>
      </c>
      <c r="E36" s="674">
        <f t="shared" si="5"/>
        <v>0.76846520759975756</v>
      </c>
      <c r="F36" s="520">
        <f t="shared" si="25"/>
        <v>5.7273875471126071E-2</v>
      </c>
      <c r="G36" s="521">
        <f t="shared" si="25"/>
        <v>0.23641744787934854</v>
      </c>
      <c r="H36" s="522">
        <f t="shared" si="25"/>
        <v>0.47477388424928296</v>
      </c>
      <c r="I36" s="678">
        <f t="shared" si="3"/>
        <v>1.3866098397929103</v>
      </c>
      <c r="J36" s="520">
        <f t="shared" si="26"/>
        <v>0.34214438535331032</v>
      </c>
      <c r="K36" s="521">
        <f t="shared" si="26"/>
        <v>0.63493409782565979</v>
      </c>
      <c r="L36" s="522">
        <f t="shared" si="26"/>
        <v>0.40953135661394036</v>
      </c>
      <c r="M36" s="692">
        <f t="shared" si="26"/>
        <v>5.711125757720445E-2</v>
      </c>
      <c r="N36" s="523">
        <f t="shared" si="4"/>
        <v>0.10618360169281724</v>
      </c>
      <c r="O36" s="692">
        <f t="shared" si="27"/>
        <v>0.10618360169281724</v>
      </c>
      <c r="P36" s="522">
        <f t="shared" si="27"/>
        <v>0</v>
      </c>
      <c r="Q36" s="519">
        <f t="shared" si="27"/>
        <v>1.1603635003976926E-2</v>
      </c>
      <c r="R36" s="129"/>
      <c r="S36" s="129"/>
      <c r="T36" s="129"/>
      <c r="U36" s="129"/>
    </row>
    <row r="37" spans="1:21" s="128" customFormat="1" ht="15" thickBot="1">
      <c r="A37" s="618"/>
      <c r="B37" s="698" t="s">
        <v>606</v>
      </c>
      <c r="C37" s="699" t="s">
        <v>1434</v>
      </c>
      <c r="D37" s="700">
        <f t="shared" si="1"/>
        <v>0</v>
      </c>
      <c r="E37" s="701">
        <f t="shared" si="5"/>
        <v>0</v>
      </c>
      <c r="F37" s="702">
        <f t="shared" si="25"/>
        <v>0</v>
      </c>
      <c r="G37" s="703">
        <f t="shared" si="25"/>
        <v>0</v>
      </c>
      <c r="H37" s="704">
        <f t="shared" si="25"/>
        <v>0</v>
      </c>
      <c r="I37" s="705">
        <f t="shared" si="3"/>
        <v>0</v>
      </c>
      <c r="J37" s="702">
        <f t="shared" si="26"/>
        <v>0</v>
      </c>
      <c r="K37" s="703">
        <f t="shared" si="26"/>
        <v>0</v>
      </c>
      <c r="L37" s="704">
        <f t="shared" si="26"/>
        <v>0</v>
      </c>
      <c r="M37" s="706">
        <f t="shared" si="26"/>
        <v>0</v>
      </c>
      <c r="N37" s="689">
        <f t="shared" si="4"/>
        <v>0</v>
      </c>
      <c r="O37" s="706">
        <f t="shared" si="27"/>
        <v>0</v>
      </c>
      <c r="P37" s="704">
        <f t="shared" si="27"/>
        <v>0</v>
      </c>
      <c r="Q37" s="888">
        <f t="shared" si="27"/>
        <v>0</v>
      </c>
      <c r="R37" s="129"/>
      <c r="S37" s="129"/>
      <c r="T37" s="129"/>
      <c r="U37" s="129"/>
    </row>
    <row r="38" spans="1:21" s="128" customFormat="1" ht="15.5" thickTop="1" thickBot="1">
      <c r="A38" s="618"/>
      <c r="B38" s="634" t="s">
        <v>103</v>
      </c>
      <c r="C38" s="634" t="s">
        <v>607</v>
      </c>
      <c r="D38" s="708">
        <f t="shared" si="1"/>
        <v>11942.389895257895</v>
      </c>
      <c r="E38" s="709">
        <f>E39+E43+E50+E53+E59+E62</f>
        <v>4803.6140099842005</v>
      </c>
      <c r="F38" s="710">
        <f t="shared" ref="F38:Q38" si="28">F39+F43+F50+F53+F59+F62</f>
        <v>282.2707189108919</v>
      </c>
      <c r="G38" s="711">
        <f t="shared" si="28"/>
        <v>646.46782389395787</v>
      </c>
      <c r="H38" s="712">
        <f t="shared" si="28"/>
        <v>3874.8754671793517</v>
      </c>
      <c r="I38" s="709">
        <f t="shared" si="28"/>
        <v>6385.1983051862735</v>
      </c>
      <c r="J38" s="710">
        <f t="shared" si="28"/>
        <v>4682.3807749937368</v>
      </c>
      <c r="K38" s="711">
        <f t="shared" si="28"/>
        <v>1306.2535013584609</v>
      </c>
      <c r="L38" s="712">
        <f t="shared" si="28"/>
        <v>396.56402883407736</v>
      </c>
      <c r="M38" s="709">
        <f t="shared" si="28"/>
        <v>751.54416395494104</v>
      </c>
      <c r="N38" s="713">
        <f t="shared" ref="N38:N93" si="29">O38+P38</f>
        <v>2.0334161324786315</v>
      </c>
      <c r="O38" s="711">
        <f>O39+O43+O50+O53+O59+O62</f>
        <v>2.0334161324786315</v>
      </c>
      <c r="P38" s="711">
        <f t="shared" si="28"/>
        <v>0</v>
      </c>
      <c r="Q38" s="709">
        <f t="shared" si="28"/>
        <v>0</v>
      </c>
      <c r="R38" s="129"/>
      <c r="S38" s="129"/>
      <c r="T38" s="129"/>
      <c r="U38" s="129"/>
    </row>
    <row r="39" spans="1:21" s="128" customFormat="1" ht="15" thickTop="1">
      <c r="A39" s="618"/>
      <c r="B39" s="643" t="s">
        <v>105</v>
      </c>
      <c r="C39" s="644" t="s">
        <v>6</v>
      </c>
      <c r="D39" s="715">
        <f t="shared" si="1"/>
        <v>1.54375</v>
      </c>
      <c r="E39" s="716">
        <f>SUM(F39:H39)</f>
        <v>0</v>
      </c>
      <c r="F39" s="717">
        <f>SUM(F40:F42)</f>
        <v>0</v>
      </c>
      <c r="G39" s="718">
        <f>SUM(G40:G42)</f>
        <v>0</v>
      </c>
      <c r="H39" s="719">
        <f>SUM(H40:H42)</f>
        <v>0</v>
      </c>
      <c r="I39" s="716">
        <f t="shared" ref="I39:I62" si="30">SUM(J39:L39)</f>
        <v>0</v>
      </c>
      <c r="J39" s="717">
        <f t="shared" ref="J39:Q39" si="31">SUM(J40:J42)</f>
        <v>0</v>
      </c>
      <c r="K39" s="718">
        <f t="shared" si="31"/>
        <v>0</v>
      </c>
      <c r="L39" s="719">
        <f t="shared" si="31"/>
        <v>0</v>
      </c>
      <c r="M39" s="716">
        <f t="shared" si="31"/>
        <v>0</v>
      </c>
      <c r="N39" s="720">
        <f t="shared" si="29"/>
        <v>1.54375</v>
      </c>
      <c r="O39" s="718">
        <f>SUM(O40:O42)</f>
        <v>1.54375</v>
      </c>
      <c r="P39" s="718">
        <f t="shared" si="31"/>
        <v>0</v>
      </c>
      <c r="Q39" s="716">
        <f t="shared" si="31"/>
        <v>0</v>
      </c>
      <c r="R39" s="129"/>
      <c r="S39" s="129"/>
      <c r="T39" s="129"/>
      <c r="U39" s="129"/>
    </row>
    <row r="40" spans="1:21" s="128" customFormat="1">
      <c r="A40" s="618"/>
      <c r="B40" s="652" t="s">
        <v>107</v>
      </c>
      <c r="C40" s="653" t="s">
        <v>8</v>
      </c>
      <c r="D40" s="715">
        <f t="shared" si="1"/>
        <v>0</v>
      </c>
      <c r="E40" s="716">
        <f t="shared" ref="E40:E65" si="32">SUM(F40:H40)</f>
        <v>0</v>
      </c>
      <c r="F40" s="722">
        <v>0</v>
      </c>
      <c r="G40" s="723">
        <v>0</v>
      </c>
      <c r="H40" s="724">
        <v>0</v>
      </c>
      <c r="I40" s="716">
        <f t="shared" si="30"/>
        <v>0</v>
      </c>
      <c r="J40" s="722">
        <v>0</v>
      </c>
      <c r="K40" s="723">
        <v>0</v>
      </c>
      <c r="L40" s="724">
        <v>0</v>
      </c>
      <c r="M40" s="725">
        <v>0</v>
      </c>
      <c r="N40" s="720">
        <f t="shared" si="29"/>
        <v>0</v>
      </c>
      <c r="O40" s="723">
        <v>0</v>
      </c>
      <c r="P40" s="726">
        <v>0</v>
      </c>
      <c r="Q40" s="889">
        <v>0</v>
      </c>
      <c r="R40" s="129" t="s">
        <v>1381</v>
      </c>
      <c r="S40" s="129"/>
      <c r="T40" s="129"/>
      <c r="U40" s="129"/>
    </row>
    <row r="41" spans="1:21" s="128" customFormat="1">
      <c r="A41" s="618"/>
      <c r="B41" s="652" t="s">
        <v>109</v>
      </c>
      <c r="C41" s="653" t="s">
        <v>9</v>
      </c>
      <c r="D41" s="715">
        <f t="shared" si="1"/>
        <v>1.54375</v>
      </c>
      <c r="E41" s="716">
        <f t="shared" si="32"/>
        <v>0</v>
      </c>
      <c r="F41" s="722">
        <v>0</v>
      </c>
      <c r="G41" s="723">
        <v>0</v>
      </c>
      <c r="H41" s="724">
        <v>0</v>
      </c>
      <c r="I41" s="716">
        <f t="shared" si="30"/>
        <v>0</v>
      </c>
      <c r="J41" s="722">
        <v>0</v>
      </c>
      <c r="K41" s="723">
        <v>0</v>
      </c>
      <c r="L41" s="724">
        <v>0</v>
      </c>
      <c r="M41" s="725">
        <v>0</v>
      </c>
      <c r="N41" s="720">
        <f t="shared" si="29"/>
        <v>1.54375</v>
      </c>
      <c r="O41" s="723">
        <v>1.54375</v>
      </c>
      <c r="P41" s="726">
        <v>0</v>
      </c>
      <c r="Q41" s="889">
        <v>0</v>
      </c>
      <c r="R41" s="129" t="s">
        <v>1383</v>
      </c>
      <c r="S41" s="129"/>
      <c r="T41" s="129"/>
      <c r="U41" s="129"/>
    </row>
    <row r="42" spans="1:21" s="128" customFormat="1">
      <c r="A42" s="618"/>
      <c r="B42" s="652" t="s">
        <v>111</v>
      </c>
      <c r="C42" s="653" t="s">
        <v>11</v>
      </c>
      <c r="D42" s="715">
        <f t="shared" si="1"/>
        <v>0</v>
      </c>
      <c r="E42" s="716">
        <f t="shared" si="32"/>
        <v>0</v>
      </c>
      <c r="F42" s="722">
        <v>0</v>
      </c>
      <c r="G42" s="723">
        <v>0</v>
      </c>
      <c r="H42" s="724">
        <v>0</v>
      </c>
      <c r="I42" s="716">
        <f t="shared" si="30"/>
        <v>0</v>
      </c>
      <c r="J42" s="722">
        <v>0</v>
      </c>
      <c r="K42" s="723">
        <v>0</v>
      </c>
      <c r="L42" s="724">
        <v>0</v>
      </c>
      <c r="M42" s="725">
        <v>0</v>
      </c>
      <c r="N42" s="720">
        <f t="shared" si="29"/>
        <v>0</v>
      </c>
      <c r="O42" s="723">
        <v>0</v>
      </c>
      <c r="P42" s="726">
        <v>0</v>
      </c>
      <c r="Q42" s="889">
        <v>0</v>
      </c>
      <c r="R42" s="129" t="s">
        <v>1385</v>
      </c>
      <c r="S42" s="129"/>
      <c r="T42" s="129"/>
      <c r="U42" s="129"/>
    </row>
    <row r="43" spans="1:21" s="128" customFormat="1">
      <c r="A43" s="618"/>
      <c r="B43" s="643" t="s">
        <v>114</v>
      </c>
      <c r="C43" s="660" t="s">
        <v>13</v>
      </c>
      <c r="D43" s="715">
        <f t="shared" si="1"/>
        <v>11660.16138943608</v>
      </c>
      <c r="E43" s="716">
        <f t="shared" si="32"/>
        <v>4749.7824163282321</v>
      </c>
      <c r="F43" s="717">
        <f>SUM(F44:F49)</f>
        <v>252.08166795470805</v>
      </c>
      <c r="G43" s="718">
        <f>SUM(G44:G49)</f>
        <v>636.56569297829242</v>
      </c>
      <c r="H43" s="719">
        <f>SUM(H44:H49)</f>
        <v>3861.1350553952316</v>
      </c>
      <c r="I43" s="716">
        <f t="shared" si="30"/>
        <v>6176.3740523882016</v>
      </c>
      <c r="J43" s="717">
        <f t="shared" ref="J43:Q43" si="33">SUM(J44:J49)</f>
        <v>4635.1011705222782</v>
      </c>
      <c r="K43" s="718">
        <f t="shared" si="33"/>
        <v>1170.0392908982869</v>
      </c>
      <c r="L43" s="719">
        <f t="shared" si="33"/>
        <v>371.23359096763704</v>
      </c>
      <c r="M43" s="716">
        <f t="shared" si="33"/>
        <v>734.00492071964698</v>
      </c>
      <c r="N43" s="720">
        <f t="shared" si="29"/>
        <v>0</v>
      </c>
      <c r="O43" s="718">
        <f>SUM(O44:O49)</f>
        <v>0</v>
      </c>
      <c r="P43" s="728">
        <f t="shared" si="33"/>
        <v>0</v>
      </c>
      <c r="Q43" s="716">
        <f t="shared" si="33"/>
        <v>0</v>
      </c>
      <c r="R43" s="129"/>
      <c r="S43" s="129"/>
      <c r="T43" s="129"/>
      <c r="U43" s="129"/>
    </row>
    <row r="44" spans="1:21" s="128" customFormat="1">
      <c r="A44" s="618"/>
      <c r="B44" s="652" t="s">
        <v>116</v>
      </c>
      <c r="C44" s="653" t="s">
        <v>15</v>
      </c>
      <c r="D44" s="715">
        <f t="shared" si="1"/>
        <v>1248.6536159229213</v>
      </c>
      <c r="E44" s="716">
        <f t="shared" si="32"/>
        <v>474.44766500669863</v>
      </c>
      <c r="F44" s="722">
        <v>0.77442757510729598</v>
      </c>
      <c r="G44" s="723">
        <v>355.0314229561759</v>
      </c>
      <c r="H44" s="724">
        <v>118.64181447541547</v>
      </c>
      <c r="I44" s="716">
        <f t="shared" si="30"/>
        <v>774.20595091622272</v>
      </c>
      <c r="J44" s="722">
        <v>349.48017951857605</v>
      </c>
      <c r="K44" s="723">
        <v>374.68985978018043</v>
      </c>
      <c r="L44" s="724">
        <v>50.035911617466184</v>
      </c>
      <c r="M44" s="725">
        <v>0</v>
      </c>
      <c r="N44" s="720">
        <f t="shared" si="29"/>
        <v>0</v>
      </c>
      <c r="O44" s="723">
        <v>0</v>
      </c>
      <c r="P44" s="726">
        <v>0</v>
      </c>
      <c r="Q44" s="889">
        <v>0</v>
      </c>
      <c r="R44" s="129" t="s">
        <v>1387</v>
      </c>
      <c r="S44" s="129"/>
      <c r="T44" s="129"/>
      <c r="U44" s="129"/>
    </row>
    <row r="45" spans="1:21" s="128" customFormat="1">
      <c r="A45" s="618"/>
      <c r="B45" s="652" t="s">
        <v>118</v>
      </c>
      <c r="C45" s="653" t="s">
        <v>593</v>
      </c>
      <c r="D45" s="715">
        <f t="shared" si="1"/>
        <v>111.21036239258486</v>
      </c>
      <c r="E45" s="716">
        <f t="shared" si="32"/>
        <v>13.231651056298244</v>
      </c>
      <c r="F45" s="722">
        <v>5.0648142477876048</v>
      </c>
      <c r="G45" s="723">
        <v>2.5991752127659575</v>
      </c>
      <c r="H45" s="724">
        <v>5.5676615957446804</v>
      </c>
      <c r="I45" s="716">
        <f t="shared" si="30"/>
        <v>97.978711336286608</v>
      </c>
      <c r="J45" s="722">
        <v>4.1153368800322063</v>
      </c>
      <c r="K45" s="723">
        <v>84.321919456254406</v>
      </c>
      <c r="L45" s="724">
        <v>9.5414549999999938</v>
      </c>
      <c r="M45" s="725">
        <v>0</v>
      </c>
      <c r="N45" s="720">
        <f t="shared" si="29"/>
        <v>0</v>
      </c>
      <c r="O45" s="723">
        <v>0</v>
      </c>
      <c r="P45" s="726">
        <v>0</v>
      </c>
      <c r="Q45" s="889">
        <v>0</v>
      </c>
      <c r="R45" s="890" t="s">
        <v>1389</v>
      </c>
      <c r="S45" s="890" t="s">
        <v>1391</v>
      </c>
      <c r="T45" s="890" t="s">
        <v>1393</v>
      </c>
      <c r="U45" s="890" t="s">
        <v>1395</v>
      </c>
    </row>
    <row r="46" spans="1:21" s="128" customFormat="1">
      <c r="A46" s="618"/>
      <c r="B46" s="652" t="s">
        <v>119</v>
      </c>
      <c r="C46" s="653" t="s">
        <v>21</v>
      </c>
      <c r="D46" s="715">
        <f t="shared" si="1"/>
        <v>8596.5746387802847</v>
      </c>
      <c r="E46" s="716">
        <f t="shared" si="32"/>
        <v>3724.7253613512412</v>
      </c>
      <c r="F46" s="722">
        <v>0</v>
      </c>
      <c r="G46" s="723">
        <v>0</v>
      </c>
      <c r="H46" s="724">
        <v>3724.7253613512412</v>
      </c>
      <c r="I46" s="716">
        <f t="shared" si="30"/>
        <v>4137.8443567093964</v>
      </c>
      <c r="J46" s="722">
        <v>4137.8443567093964</v>
      </c>
      <c r="K46" s="723">
        <v>0</v>
      </c>
      <c r="L46" s="724">
        <v>0</v>
      </c>
      <c r="M46" s="725">
        <v>734.00492071964698</v>
      </c>
      <c r="N46" s="720">
        <f t="shared" si="29"/>
        <v>0</v>
      </c>
      <c r="O46" s="723">
        <v>0</v>
      </c>
      <c r="P46" s="726">
        <v>0</v>
      </c>
      <c r="Q46" s="889">
        <v>0</v>
      </c>
      <c r="R46" s="890" t="s">
        <v>1397</v>
      </c>
      <c r="S46" s="129"/>
      <c r="T46" s="129"/>
      <c r="U46" s="129"/>
    </row>
    <row r="47" spans="1:21" s="128" customFormat="1">
      <c r="A47" s="618"/>
      <c r="B47" s="652" t="s">
        <v>608</v>
      </c>
      <c r="C47" s="653" t="s">
        <v>23</v>
      </c>
      <c r="D47" s="715">
        <f t="shared" si="1"/>
        <v>0</v>
      </c>
      <c r="E47" s="716">
        <f t="shared" ref="E47:E48" si="34">SUM(F47:H47)</f>
        <v>0</v>
      </c>
      <c r="F47" s="722">
        <v>0</v>
      </c>
      <c r="G47" s="723">
        <v>0</v>
      </c>
      <c r="H47" s="724">
        <v>0</v>
      </c>
      <c r="I47" s="716">
        <f t="shared" ref="I47:I48" si="35">SUM(J47:L47)</f>
        <v>0</v>
      </c>
      <c r="J47" s="722">
        <v>0</v>
      </c>
      <c r="K47" s="723">
        <v>0</v>
      </c>
      <c r="L47" s="724">
        <v>0</v>
      </c>
      <c r="M47" s="725">
        <v>0</v>
      </c>
      <c r="N47" s="720">
        <f t="shared" si="29"/>
        <v>0</v>
      </c>
      <c r="O47" s="723">
        <v>0</v>
      </c>
      <c r="P47" s="726">
        <v>0</v>
      </c>
      <c r="Q47" s="889">
        <v>0</v>
      </c>
      <c r="R47" s="890" t="s">
        <v>1399</v>
      </c>
      <c r="S47" s="129"/>
      <c r="T47" s="129"/>
      <c r="U47" s="129"/>
    </row>
    <row r="48" spans="1:21" s="128" customFormat="1">
      <c r="A48" s="618"/>
      <c r="B48" s="652" t="s">
        <v>609</v>
      </c>
      <c r="C48" s="653" t="s">
        <v>25</v>
      </c>
      <c r="D48" s="715">
        <f t="shared" si="1"/>
        <v>0</v>
      </c>
      <c r="E48" s="716">
        <f t="shared" si="34"/>
        <v>0</v>
      </c>
      <c r="F48" s="722">
        <v>0</v>
      </c>
      <c r="G48" s="723">
        <v>0</v>
      </c>
      <c r="H48" s="724">
        <v>0</v>
      </c>
      <c r="I48" s="716">
        <f t="shared" si="35"/>
        <v>0</v>
      </c>
      <c r="J48" s="722">
        <v>0</v>
      </c>
      <c r="K48" s="723">
        <v>0</v>
      </c>
      <c r="L48" s="724">
        <v>0</v>
      </c>
      <c r="M48" s="725">
        <v>0</v>
      </c>
      <c r="N48" s="720">
        <f t="shared" si="29"/>
        <v>0</v>
      </c>
      <c r="O48" s="723">
        <v>0</v>
      </c>
      <c r="P48" s="726">
        <v>0</v>
      </c>
      <c r="Q48" s="889">
        <v>0</v>
      </c>
      <c r="R48" s="890" t="s">
        <v>1401</v>
      </c>
      <c r="S48" s="129"/>
      <c r="T48" s="129"/>
      <c r="U48" s="129"/>
    </row>
    <row r="49" spans="1:21" s="128" customFormat="1" ht="39">
      <c r="A49" s="618"/>
      <c r="B49" s="652" t="s">
        <v>610</v>
      </c>
      <c r="C49" s="653" t="s">
        <v>597</v>
      </c>
      <c r="D49" s="715">
        <f t="shared" si="1"/>
        <v>1703.7227723402902</v>
      </c>
      <c r="E49" s="716">
        <f t="shared" si="32"/>
        <v>537.37773891399399</v>
      </c>
      <c r="F49" s="722">
        <v>246.24242613181315</v>
      </c>
      <c r="G49" s="723">
        <v>278.93509480935063</v>
      </c>
      <c r="H49" s="724">
        <v>12.200217972830226</v>
      </c>
      <c r="I49" s="716">
        <f t="shared" si="30"/>
        <v>1166.3450334262961</v>
      </c>
      <c r="J49" s="722">
        <v>143.66129741427315</v>
      </c>
      <c r="K49" s="723">
        <v>711.02751166185203</v>
      </c>
      <c r="L49" s="724">
        <v>311.65622435017087</v>
      </c>
      <c r="M49" s="725">
        <v>0</v>
      </c>
      <c r="N49" s="720">
        <f t="shared" si="29"/>
        <v>0</v>
      </c>
      <c r="O49" s="723">
        <v>0</v>
      </c>
      <c r="P49" s="726">
        <v>0</v>
      </c>
      <c r="Q49" s="889">
        <v>0</v>
      </c>
      <c r="R49" s="890" t="s">
        <v>1403</v>
      </c>
      <c r="S49" s="129"/>
      <c r="T49" s="129"/>
      <c r="U49" s="129"/>
    </row>
    <row r="50" spans="1:21" s="128" customFormat="1">
      <c r="A50" s="618"/>
      <c r="B50" s="643" t="s">
        <v>288</v>
      </c>
      <c r="C50" s="661" t="s">
        <v>29</v>
      </c>
      <c r="D50" s="715">
        <f t="shared" si="1"/>
        <v>215.17504005129331</v>
      </c>
      <c r="E50" s="716">
        <f t="shared" si="32"/>
        <v>27.116627099282709</v>
      </c>
      <c r="F50" s="717">
        <f>SUM(F51:F52)</f>
        <v>22.758700400628278</v>
      </c>
      <c r="G50" s="718">
        <f>SUM(G51:G52)</f>
        <v>1.1688240109034269</v>
      </c>
      <c r="H50" s="719">
        <f>SUM(H51:H52)</f>
        <v>3.1891026877510043</v>
      </c>
      <c r="I50" s="716">
        <f t="shared" si="30"/>
        <v>188.0584129520106</v>
      </c>
      <c r="J50" s="717">
        <f t="shared" ref="J50:Q50" si="36">SUM(J51:J52)</f>
        <v>42.334143379076323</v>
      </c>
      <c r="K50" s="718">
        <f t="shared" si="36"/>
        <v>122.91334925035363</v>
      </c>
      <c r="L50" s="719">
        <f t="shared" si="36"/>
        <v>22.81092032258065</v>
      </c>
      <c r="M50" s="716">
        <f t="shared" si="36"/>
        <v>0</v>
      </c>
      <c r="N50" s="720">
        <f t="shared" si="29"/>
        <v>0</v>
      </c>
      <c r="O50" s="718">
        <f>SUM(O51:O52)</f>
        <v>0</v>
      </c>
      <c r="P50" s="728">
        <f t="shared" si="36"/>
        <v>0</v>
      </c>
      <c r="Q50" s="716">
        <f t="shared" si="36"/>
        <v>0</v>
      </c>
      <c r="R50" s="129"/>
      <c r="S50" s="129"/>
      <c r="T50" s="129"/>
      <c r="U50" s="129"/>
    </row>
    <row r="51" spans="1:21" s="128" customFormat="1" ht="52.5">
      <c r="A51" s="618"/>
      <c r="B51" s="652" t="s">
        <v>290</v>
      </c>
      <c r="C51" s="662" t="s">
        <v>31</v>
      </c>
      <c r="D51" s="715">
        <f t="shared" si="1"/>
        <v>176.65277171795998</v>
      </c>
      <c r="E51" s="716">
        <f t="shared" si="32"/>
        <v>27.003960432616044</v>
      </c>
      <c r="F51" s="722">
        <v>22.758700400628278</v>
      </c>
      <c r="G51" s="723">
        <v>1.1688240109034269</v>
      </c>
      <c r="H51" s="724">
        <v>3.0764360210843376</v>
      </c>
      <c r="I51" s="716">
        <f t="shared" si="30"/>
        <v>149.64881128534392</v>
      </c>
      <c r="J51" s="722">
        <v>37.788041712409658</v>
      </c>
      <c r="K51" s="723">
        <v>89.049849250353631</v>
      </c>
      <c r="L51" s="724">
        <v>22.81092032258065</v>
      </c>
      <c r="M51" s="725">
        <v>0</v>
      </c>
      <c r="N51" s="720">
        <f t="shared" si="29"/>
        <v>0</v>
      </c>
      <c r="O51" s="723">
        <v>0</v>
      </c>
      <c r="P51" s="726">
        <v>0</v>
      </c>
      <c r="Q51" s="889">
        <v>0</v>
      </c>
      <c r="R51" s="890" t="s">
        <v>1405</v>
      </c>
      <c r="S51" s="129"/>
      <c r="T51" s="129"/>
      <c r="U51" s="129"/>
    </row>
    <row r="52" spans="1:21" s="128" customFormat="1">
      <c r="A52" s="618"/>
      <c r="B52" s="652" t="s">
        <v>291</v>
      </c>
      <c r="C52" s="662" t="s">
        <v>33</v>
      </c>
      <c r="D52" s="715">
        <f t="shared" si="1"/>
        <v>38.522268333333336</v>
      </c>
      <c r="E52" s="716">
        <f t="shared" si="32"/>
        <v>0.11266666666666668</v>
      </c>
      <c r="F52" s="722">
        <v>0</v>
      </c>
      <c r="G52" s="723">
        <v>0</v>
      </c>
      <c r="H52" s="724">
        <v>0.11266666666666668</v>
      </c>
      <c r="I52" s="716">
        <f t="shared" si="30"/>
        <v>38.409601666666667</v>
      </c>
      <c r="J52" s="722">
        <v>4.546101666666666</v>
      </c>
      <c r="K52" s="723">
        <v>33.863500000000002</v>
      </c>
      <c r="L52" s="724">
        <v>0</v>
      </c>
      <c r="M52" s="725">
        <v>0</v>
      </c>
      <c r="N52" s="720">
        <f t="shared" si="29"/>
        <v>0</v>
      </c>
      <c r="O52" s="723">
        <v>0</v>
      </c>
      <c r="P52" s="726">
        <v>0</v>
      </c>
      <c r="Q52" s="889">
        <v>0</v>
      </c>
      <c r="R52" s="890" t="s">
        <v>1407</v>
      </c>
      <c r="S52" s="129"/>
      <c r="T52" s="129"/>
      <c r="U52" s="129"/>
    </row>
    <row r="53" spans="1:21" s="128" customFormat="1">
      <c r="A53" s="618"/>
      <c r="B53" s="643" t="s">
        <v>293</v>
      </c>
      <c r="C53" s="661" t="s">
        <v>35</v>
      </c>
      <c r="D53" s="715">
        <f t="shared" si="1"/>
        <v>37.874638610872985</v>
      </c>
      <c r="E53" s="716">
        <f t="shared" si="32"/>
        <v>23.586541794782015</v>
      </c>
      <c r="F53" s="717">
        <f>SUM(F54:F58)</f>
        <v>7.4303505555555569</v>
      </c>
      <c r="G53" s="718">
        <f>SUM(G54:G58)</f>
        <v>8.541681904761905</v>
      </c>
      <c r="H53" s="719">
        <f>SUM(H54:H58)</f>
        <v>7.6145093344645538</v>
      </c>
      <c r="I53" s="716">
        <f t="shared" si="30"/>
        <v>14.063707927202083</v>
      </c>
      <c r="J53" s="717">
        <f t="shared" ref="J53:Q53" si="37">SUM(J54:J58)</f>
        <v>2.8360860923819082</v>
      </c>
      <c r="K53" s="718">
        <f t="shared" si="37"/>
        <v>11.227621834820175</v>
      </c>
      <c r="L53" s="719">
        <f t="shared" si="37"/>
        <v>0</v>
      </c>
      <c r="M53" s="716">
        <f t="shared" si="37"/>
        <v>0</v>
      </c>
      <c r="N53" s="720">
        <f t="shared" si="29"/>
        <v>0.2243888888888888</v>
      </c>
      <c r="O53" s="718">
        <f>SUM(O54:O58)</f>
        <v>0.2243888888888888</v>
      </c>
      <c r="P53" s="728">
        <f t="shared" si="37"/>
        <v>0</v>
      </c>
      <c r="Q53" s="716">
        <f t="shared" si="37"/>
        <v>0</v>
      </c>
      <c r="R53" s="129"/>
      <c r="S53" s="129"/>
      <c r="T53" s="129"/>
      <c r="U53" s="129"/>
    </row>
    <row r="54" spans="1:21" s="128" customFormat="1">
      <c r="A54" s="618"/>
      <c r="B54" s="652" t="s">
        <v>294</v>
      </c>
      <c r="C54" s="662" t="s">
        <v>37</v>
      </c>
      <c r="D54" s="715">
        <f t="shared" si="1"/>
        <v>0</v>
      </c>
      <c r="E54" s="891">
        <f t="shared" si="32"/>
        <v>0</v>
      </c>
      <c r="F54" s="892">
        <v>0</v>
      </c>
      <c r="G54" s="893">
        <v>0</v>
      </c>
      <c r="H54" s="894">
        <v>0</v>
      </c>
      <c r="I54" s="891">
        <f t="shared" si="30"/>
        <v>0</v>
      </c>
      <c r="J54" s="892">
        <v>0</v>
      </c>
      <c r="K54" s="893">
        <v>0</v>
      </c>
      <c r="L54" s="894">
        <v>0</v>
      </c>
      <c r="M54" s="895">
        <v>0</v>
      </c>
      <c r="N54" s="896">
        <f t="shared" si="29"/>
        <v>0</v>
      </c>
      <c r="O54" s="893">
        <v>0</v>
      </c>
      <c r="P54" s="897">
        <v>0</v>
      </c>
      <c r="Q54" s="889">
        <v>0</v>
      </c>
      <c r="R54" s="890" t="s">
        <v>1409</v>
      </c>
      <c r="S54" s="129"/>
      <c r="T54" s="129"/>
      <c r="U54" s="129"/>
    </row>
    <row r="55" spans="1:21" s="128" customFormat="1">
      <c r="A55" s="618"/>
      <c r="B55" s="652" t="s">
        <v>296</v>
      </c>
      <c r="C55" s="670" t="s">
        <v>40</v>
      </c>
      <c r="D55" s="715">
        <f t="shared" si="1"/>
        <v>0</v>
      </c>
      <c r="E55" s="891">
        <f t="shared" ref="E55:E57" si="38">SUM(F55:H55)</f>
        <v>0</v>
      </c>
      <c r="F55" s="892">
        <v>0</v>
      </c>
      <c r="G55" s="893">
        <v>0</v>
      </c>
      <c r="H55" s="894">
        <v>0</v>
      </c>
      <c r="I55" s="891">
        <f t="shared" ref="I55:I57" si="39">SUM(J55:L55)</f>
        <v>0</v>
      </c>
      <c r="J55" s="892">
        <v>0</v>
      </c>
      <c r="K55" s="893">
        <v>0</v>
      </c>
      <c r="L55" s="894">
        <v>0</v>
      </c>
      <c r="M55" s="895">
        <v>0</v>
      </c>
      <c r="N55" s="896">
        <f t="shared" si="29"/>
        <v>0</v>
      </c>
      <c r="O55" s="893">
        <v>0</v>
      </c>
      <c r="P55" s="897">
        <v>0</v>
      </c>
      <c r="Q55" s="889">
        <v>0</v>
      </c>
      <c r="R55" s="890" t="s">
        <v>1411</v>
      </c>
      <c r="S55" s="129"/>
      <c r="T55" s="129"/>
      <c r="U55" s="129"/>
    </row>
    <row r="56" spans="1:21" s="128" customFormat="1">
      <c r="A56" s="618"/>
      <c r="B56" s="652" t="s">
        <v>611</v>
      </c>
      <c r="C56" s="670" t="s">
        <v>43</v>
      </c>
      <c r="D56" s="715">
        <f t="shared" si="1"/>
        <v>0</v>
      </c>
      <c r="E56" s="891">
        <f t="shared" si="38"/>
        <v>0</v>
      </c>
      <c r="F56" s="892">
        <v>0</v>
      </c>
      <c r="G56" s="893">
        <v>0</v>
      </c>
      <c r="H56" s="894">
        <v>0</v>
      </c>
      <c r="I56" s="891">
        <f t="shared" si="39"/>
        <v>0</v>
      </c>
      <c r="J56" s="892">
        <v>0</v>
      </c>
      <c r="K56" s="893">
        <v>0</v>
      </c>
      <c r="L56" s="894">
        <v>0</v>
      </c>
      <c r="M56" s="895">
        <v>0</v>
      </c>
      <c r="N56" s="896">
        <f t="shared" si="29"/>
        <v>0</v>
      </c>
      <c r="O56" s="893">
        <v>0</v>
      </c>
      <c r="P56" s="897">
        <v>0</v>
      </c>
      <c r="Q56" s="889">
        <v>0</v>
      </c>
      <c r="R56" s="890" t="s">
        <v>1413</v>
      </c>
      <c r="S56" s="129"/>
      <c r="T56" s="129"/>
      <c r="U56" s="129"/>
    </row>
    <row r="57" spans="1:21" s="128" customFormat="1" ht="26.5">
      <c r="A57" s="618"/>
      <c r="B57" s="652" t="s">
        <v>612</v>
      </c>
      <c r="C57" s="670" t="s">
        <v>45</v>
      </c>
      <c r="D57" s="715">
        <f t="shared" si="1"/>
        <v>8.2625000000000004E-2</v>
      </c>
      <c r="E57" s="891">
        <f t="shared" si="38"/>
        <v>8.2625000000000004E-2</v>
      </c>
      <c r="F57" s="892">
        <v>8.2625000000000004E-2</v>
      </c>
      <c r="G57" s="893">
        <v>0</v>
      </c>
      <c r="H57" s="894">
        <v>0</v>
      </c>
      <c r="I57" s="891">
        <f t="shared" si="39"/>
        <v>0</v>
      </c>
      <c r="J57" s="892">
        <v>0</v>
      </c>
      <c r="K57" s="893">
        <v>0</v>
      </c>
      <c r="L57" s="894">
        <v>0</v>
      </c>
      <c r="M57" s="895">
        <v>0</v>
      </c>
      <c r="N57" s="896">
        <f t="shared" si="29"/>
        <v>0</v>
      </c>
      <c r="O57" s="893">
        <v>0</v>
      </c>
      <c r="P57" s="897">
        <v>0</v>
      </c>
      <c r="Q57" s="889">
        <v>0</v>
      </c>
      <c r="R57" s="890" t="s">
        <v>1415</v>
      </c>
      <c r="S57" s="129"/>
      <c r="T57" s="129"/>
      <c r="U57" s="129"/>
    </row>
    <row r="58" spans="1:21" s="128" customFormat="1" ht="26.5">
      <c r="A58" s="618"/>
      <c r="B58" s="652" t="s">
        <v>613</v>
      </c>
      <c r="C58" s="670" t="s">
        <v>603</v>
      </c>
      <c r="D58" s="715">
        <f t="shared" si="1"/>
        <v>37.792013610872985</v>
      </c>
      <c r="E58" s="891">
        <f t="shared" si="32"/>
        <v>23.503916794782015</v>
      </c>
      <c r="F58" s="892">
        <v>7.3477255555555567</v>
      </c>
      <c r="G58" s="893">
        <v>8.541681904761905</v>
      </c>
      <c r="H58" s="894">
        <v>7.6145093344645538</v>
      </c>
      <c r="I58" s="891">
        <f t="shared" si="30"/>
        <v>14.063707927202083</v>
      </c>
      <c r="J58" s="892">
        <v>2.8360860923819082</v>
      </c>
      <c r="K58" s="893">
        <v>11.227621834820175</v>
      </c>
      <c r="L58" s="894">
        <v>0</v>
      </c>
      <c r="M58" s="895">
        <v>0</v>
      </c>
      <c r="N58" s="896">
        <f t="shared" si="29"/>
        <v>0.2243888888888888</v>
      </c>
      <c r="O58" s="893">
        <v>0.2243888888888888</v>
      </c>
      <c r="P58" s="897">
        <v>0</v>
      </c>
      <c r="Q58" s="889">
        <v>0</v>
      </c>
      <c r="R58" s="890" t="s">
        <v>1417</v>
      </c>
      <c r="S58" s="129"/>
      <c r="T58" s="129"/>
      <c r="U58" s="129"/>
    </row>
    <row r="59" spans="1:21" s="128" customFormat="1">
      <c r="A59" s="618"/>
      <c r="B59" s="643" t="s">
        <v>298</v>
      </c>
      <c r="C59" s="672" t="s">
        <v>51</v>
      </c>
      <c r="D59" s="730">
        <f t="shared" si="1"/>
        <v>25.537212784648272</v>
      </c>
      <c r="E59" s="731">
        <f t="shared" si="32"/>
        <v>2.7451747619047602</v>
      </c>
      <c r="F59" s="738">
        <f>SUM(F60:F61)</f>
        <v>0</v>
      </c>
      <c r="G59" s="739">
        <f>SUM(G60:G61)</f>
        <v>0</v>
      </c>
      <c r="H59" s="740">
        <f>SUM(H60:H61)</f>
        <v>2.7451747619047602</v>
      </c>
      <c r="I59" s="731">
        <f t="shared" si="30"/>
        <v>5.039934210526317</v>
      </c>
      <c r="J59" s="738">
        <f t="shared" ref="J59:Q59" si="40">SUM(J60:J61)</f>
        <v>2.109375</v>
      </c>
      <c r="K59" s="739">
        <f t="shared" si="40"/>
        <v>0.70687500000000003</v>
      </c>
      <c r="L59" s="740">
        <f t="shared" si="40"/>
        <v>2.2236842105263168</v>
      </c>
      <c r="M59" s="731">
        <f t="shared" si="40"/>
        <v>17.539243235294119</v>
      </c>
      <c r="N59" s="736">
        <f t="shared" si="29"/>
        <v>0.21286057692307622</v>
      </c>
      <c r="O59" s="739">
        <f>SUM(O60:O61)</f>
        <v>0.21286057692307622</v>
      </c>
      <c r="P59" s="741">
        <f t="shared" si="40"/>
        <v>0</v>
      </c>
      <c r="Q59" s="731">
        <f t="shared" si="40"/>
        <v>0</v>
      </c>
      <c r="R59" s="129"/>
      <c r="S59" s="129"/>
      <c r="T59" s="129"/>
      <c r="U59" s="129"/>
    </row>
    <row r="60" spans="1:21" s="128" customFormat="1">
      <c r="A60" s="618"/>
      <c r="B60" s="681" t="s">
        <v>300</v>
      </c>
      <c r="C60" s="682" t="s">
        <v>53</v>
      </c>
      <c r="D60" s="898">
        <f t="shared" si="1"/>
        <v>0.91973557692307628</v>
      </c>
      <c r="E60" s="899">
        <f t="shared" si="32"/>
        <v>0</v>
      </c>
      <c r="F60" s="900">
        <v>0</v>
      </c>
      <c r="G60" s="901">
        <v>0</v>
      </c>
      <c r="H60" s="902">
        <v>0</v>
      </c>
      <c r="I60" s="899">
        <f t="shared" si="30"/>
        <v>0.70687500000000003</v>
      </c>
      <c r="J60" s="900">
        <v>0</v>
      </c>
      <c r="K60" s="901">
        <v>0.70687500000000003</v>
      </c>
      <c r="L60" s="902">
        <v>0</v>
      </c>
      <c r="M60" s="903">
        <v>0</v>
      </c>
      <c r="N60" s="904">
        <f t="shared" si="29"/>
        <v>0.21286057692307622</v>
      </c>
      <c r="O60" s="901">
        <v>0.21286057692307622</v>
      </c>
      <c r="P60" s="905">
        <v>0</v>
      </c>
      <c r="Q60" s="889">
        <v>0</v>
      </c>
      <c r="R60" s="129" t="s">
        <v>1435</v>
      </c>
      <c r="S60" s="129"/>
      <c r="T60" s="129"/>
      <c r="U60" s="129"/>
    </row>
    <row r="61" spans="1:21" s="128" customFormat="1" ht="26.5">
      <c r="A61" s="618"/>
      <c r="B61" s="681" t="s">
        <v>302</v>
      </c>
      <c r="C61" s="691" t="s">
        <v>55</v>
      </c>
      <c r="D61" s="730">
        <f t="shared" si="1"/>
        <v>24.617477207725194</v>
      </c>
      <c r="E61" s="731">
        <f t="shared" si="32"/>
        <v>2.7451747619047602</v>
      </c>
      <c r="F61" s="732">
        <v>0</v>
      </c>
      <c r="G61" s="733">
        <v>0</v>
      </c>
      <c r="H61" s="734">
        <v>2.7451747619047602</v>
      </c>
      <c r="I61" s="731">
        <f t="shared" si="30"/>
        <v>4.3330592105263168</v>
      </c>
      <c r="J61" s="732">
        <v>2.109375</v>
      </c>
      <c r="K61" s="733">
        <v>0</v>
      </c>
      <c r="L61" s="734">
        <v>2.2236842105263168</v>
      </c>
      <c r="M61" s="735">
        <v>17.539243235294119</v>
      </c>
      <c r="N61" s="736">
        <f t="shared" si="29"/>
        <v>0</v>
      </c>
      <c r="O61" s="733">
        <v>0</v>
      </c>
      <c r="P61" s="737">
        <v>0</v>
      </c>
      <c r="Q61" s="889">
        <v>0</v>
      </c>
      <c r="R61" s="129" t="s">
        <v>1436</v>
      </c>
      <c r="S61" s="129"/>
      <c r="T61" s="129"/>
      <c r="U61" s="129"/>
    </row>
    <row r="62" spans="1:21" s="128" customFormat="1">
      <c r="A62" s="618"/>
      <c r="B62" s="694" t="s">
        <v>304</v>
      </c>
      <c r="C62" s="695" t="s">
        <v>604</v>
      </c>
      <c r="D62" s="730">
        <f t="shared" si="1"/>
        <v>2.0978643750000003</v>
      </c>
      <c r="E62" s="731">
        <f t="shared" si="32"/>
        <v>0.38324999999999998</v>
      </c>
      <c r="F62" s="738">
        <f>SUM(F63:F65)</f>
        <v>0</v>
      </c>
      <c r="G62" s="739">
        <f>SUM(G63:G65)</f>
        <v>0.19162499999999999</v>
      </c>
      <c r="H62" s="740">
        <f>SUM(H63:H65)</f>
        <v>0.19162499999999999</v>
      </c>
      <c r="I62" s="731">
        <f t="shared" si="30"/>
        <v>1.6621977083333337</v>
      </c>
      <c r="J62" s="738">
        <f t="shared" ref="J62:Q62" si="41">SUM(J63:J65)</f>
        <v>0</v>
      </c>
      <c r="K62" s="739">
        <f t="shared" si="41"/>
        <v>1.3663643750000001</v>
      </c>
      <c r="L62" s="740">
        <f t="shared" si="41"/>
        <v>0.2958333333333335</v>
      </c>
      <c r="M62" s="731">
        <f t="shared" si="41"/>
        <v>0</v>
      </c>
      <c r="N62" s="736">
        <f t="shared" si="29"/>
        <v>5.2416666666666743E-2</v>
      </c>
      <c r="O62" s="739">
        <f>SUM(O63:O65)</f>
        <v>5.2416666666666743E-2</v>
      </c>
      <c r="P62" s="741">
        <f t="shared" si="41"/>
        <v>0</v>
      </c>
      <c r="Q62" s="731">
        <f t="shared" si="41"/>
        <v>0</v>
      </c>
      <c r="R62" s="129"/>
      <c r="S62" s="129"/>
      <c r="T62" s="129"/>
      <c r="U62" s="129"/>
    </row>
    <row r="63" spans="1:21" s="128" customFormat="1">
      <c r="A63" s="618"/>
      <c r="B63" s="696" t="s">
        <v>306</v>
      </c>
      <c r="C63" s="697" t="s">
        <v>1433</v>
      </c>
      <c r="D63" s="730">
        <f t="shared" si="1"/>
        <v>0.99450000000000005</v>
      </c>
      <c r="E63" s="731">
        <f t="shared" si="32"/>
        <v>0</v>
      </c>
      <c r="F63" s="732">
        <v>0</v>
      </c>
      <c r="G63" s="733">
        <v>0</v>
      </c>
      <c r="H63" s="734">
        <v>0</v>
      </c>
      <c r="I63" s="731">
        <f>SUM(J63:L63)</f>
        <v>0.99450000000000005</v>
      </c>
      <c r="J63" s="732">
        <v>0</v>
      </c>
      <c r="K63" s="733">
        <v>0.99450000000000005</v>
      </c>
      <c r="L63" s="734">
        <v>0</v>
      </c>
      <c r="M63" s="735">
        <v>0</v>
      </c>
      <c r="N63" s="736">
        <f t="shared" si="29"/>
        <v>0</v>
      </c>
      <c r="O63" s="733">
        <v>0</v>
      </c>
      <c r="P63" s="737">
        <v>0</v>
      </c>
      <c r="Q63" s="889">
        <v>0</v>
      </c>
      <c r="R63" s="129" t="s">
        <v>1437</v>
      </c>
      <c r="S63" s="129"/>
      <c r="T63" s="129"/>
      <c r="U63" s="129"/>
    </row>
    <row r="64" spans="1:21" s="128" customFormat="1">
      <c r="A64" s="618"/>
      <c r="B64" s="696" t="s">
        <v>614</v>
      </c>
      <c r="C64" s="697" t="s">
        <v>47</v>
      </c>
      <c r="D64" s="730">
        <f t="shared" si="1"/>
        <v>1.1033643750000002</v>
      </c>
      <c r="E64" s="731">
        <f t="shared" si="32"/>
        <v>0.38324999999999998</v>
      </c>
      <c r="F64" s="732">
        <v>0</v>
      </c>
      <c r="G64" s="733">
        <v>0.19162499999999999</v>
      </c>
      <c r="H64" s="734">
        <v>0.19162499999999999</v>
      </c>
      <c r="I64" s="731">
        <f>SUM(J64:L64)</f>
        <v>0.66769770833333353</v>
      </c>
      <c r="J64" s="732">
        <v>0</v>
      </c>
      <c r="K64" s="733">
        <v>0.37186437499999997</v>
      </c>
      <c r="L64" s="734">
        <v>0.2958333333333335</v>
      </c>
      <c r="M64" s="735">
        <v>0</v>
      </c>
      <c r="N64" s="736">
        <f t="shared" si="29"/>
        <v>5.2416666666666743E-2</v>
      </c>
      <c r="O64" s="733">
        <v>5.2416666666666743E-2</v>
      </c>
      <c r="P64" s="737">
        <v>0</v>
      </c>
      <c r="Q64" s="889">
        <v>0</v>
      </c>
      <c r="R64" s="129" t="s">
        <v>1419</v>
      </c>
      <c r="S64" s="129"/>
      <c r="T64" s="129"/>
      <c r="U64" s="129"/>
    </row>
    <row r="65" spans="1:21" s="128" customFormat="1" ht="15" thickBot="1">
      <c r="A65" s="618"/>
      <c r="B65" s="698" t="s">
        <v>615</v>
      </c>
      <c r="C65" s="699" t="s">
        <v>1434</v>
      </c>
      <c r="D65" s="743">
        <f t="shared" si="1"/>
        <v>0</v>
      </c>
      <c r="E65" s="744">
        <f t="shared" si="32"/>
        <v>0</v>
      </c>
      <c r="F65" s="745">
        <v>0</v>
      </c>
      <c r="G65" s="746">
        <v>0</v>
      </c>
      <c r="H65" s="747">
        <v>0</v>
      </c>
      <c r="I65" s="744">
        <f>SUM(J65:L65)</f>
        <v>0</v>
      </c>
      <c r="J65" s="745">
        <v>0</v>
      </c>
      <c r="K65" s="746">
        <v>0</v>
      </c>
      <c r="L65" s="747">
        <v>0</v>
      </c>
      <c r="M65" s="748">
        <v>0</v>
      </c>
      <c r="N65" s="749">
        <f t="shared" si="29"/>
        <v>0</v>
      </c>
      <c r="O65" s="746">
        <v>0</v>
      </c>
      <c r="P65" s="750">
        <v>0</v>
      </c>
      <c r="Q65" s="906">
        <v>0</v>
      </c>
      <c r="R65" s="129" t="s">
        <v>1421</v>
      </c>
      <c r="S65" s="129"/>
      <c r="T65" s="129"/>
      <c r="U65" s="129"/>
    </row>
    <row r="66" spans="1:21" s="128" customFormat="1" ht="15.5" thickTop="1" thickBot="1">
      <c r="A66" s="618" t="s">
        <v>616</v>
      </c>
      <c r="B66" s="752" t="s">
        <v>123</v>
      </c>
      <c r="C66" s="753" t="s">
        <v>617</v>
      </c>
      <c r="D66" s="708">
        <f t="shared" ref="D66:M66" si="42">D67+D71+D78+D81+D87+D90</f>
        <v>11.110321542901094</v>
      </c>
      <c r="E66" s="709">
        <f t="shared" si="42"/>
        <v>2.9425498514653783</v>
      </c>
      <c r="F66" s="710">
        <f t="shared" si="42"/>
        <v>0.18394698000541795</v>
      </c>
      <c r="G66" s="711">
        <f t="shared" si="42"/>
        <v>0.34230024518814983</v>
      </c>
      <c r="H66" s="712">
        <f t="shared" si="42"/>
        <v>2.4163026262718112</v>
      </c>
      <c r="I66" s="709">
        <f t="shared" si="42"/>
        <v>7.0507311995552415</v>
      </c>
      <c r="J66" s="710">
        <f t="shared" si="42"/>
        <v>3.5292513693791472</v>
      </c>
      <c r="K66" s="711">
        <f t="shared" si="42"/>
        <v>2.3081347735463886</v>
      </c>
      <c r="L66" s="712">
        <f t="shared" si="42"/>
        <v>1.2133450566297057</v>
      </c>
      <c r="M66" s="709">
        <f t="shared" si="42"/>
        <v>1.0689300611926469</v>
      </c>
      <c r="N66" s="713">
        <f t="shared" si="29"/>
        <v>3.1076844461631957E-3</v>
      </c>
      <c r="O66" s="711">
        <f>O67+O71+O78+O81+O87+O90</f>
        <v>3.1076844461631957E-3</v>
      </c>
      <c r="P66" s="754">
        <f>P67+P71+P78+P81+P87+P90</f>
        <v>0</v>
      </c>
      <c r="Q66" s="709">
        <f>Q67+Q71+Q78+Q81+Q87+Q90</f>
        <v>4.5002746241661645E-2</v>
      </c>
      <c r="R66" s="129"/>
      <c r="S66" s="129"/>
      <c r="T66" s="129"/>
      <c r="U66" s="129"/>
    </row>
    <row r="67" spans="1:21" s="128" customFormat="1" ht="15" thickTop="1">
      <c r="A67" s="618" t="s">
        <v>616</v>
      </c>
      <c r="B67" s="755" t="s">
        <v>125</v>
      </c>
      <c r="C67" s="756" t="s">
        <v>6</v>
      </c>
      <c r="D67" s="715">
        <f>SUM(D68:D70)</f>
        <v>0</v>
      </c>
      <c r="E67" s="716">
        <f>SUM(F67:H67)</f>
        <v>0</v>
      </c>
      <c r="F67" s="717">
        <f>SUM(F68:F70)</f>
        <v>0</v>
      </c>
      <c r="G67" s="718">
        <f>SUM(G68:G70)</f>
        <v>0</v>
      </c>
      <c r="H67" s="719">
        <f>SUM(H68:H70)</f>
        <v>0</v>
      </c>
      <c r="I67" s="716">
        <f t="shared" ref="I67:I93" si="43">SUM(J67:L67)</f>
        <v>0</v>
      </c>
      <c r="J67" s="717">
        <f t="shared" ref="J67:Q67" si="44">SUM(J68:J70)</f>
        <v>0</v>
      </c>
      <c r="K67" s="718">
        <f t="shared" si="44"/>
        <v>0</v>
      </c>
      <c r="L67" s="719">
        <f t="shared" si="44"/>
        <v>0</v>
      </c>
      <c r="M67" s="716">
        <f t="shared" si="44"/>
        <v>0</v>
      </c>
      <c r="N67" s="720">
        <f t="shared" si="29"/>
        <v>0</v>
      </c>
      <c r="O67" s="718">
        <f>SUM(O68:O70)</f>
        <v>0</v>
      </c>
      <c r="P67" s="728">
        <f t="shared" si="44"/>
        <v>0</v>
      </c>
      <c r="Q67" s="716">
        <f t="shared" si="44"/>
        <v>0</v>
      </c>
      <c r="R67" s="129"/>
      <c r="S67" s="129"/>
      <c r="T67" s="129"/>
      <c r="U67" s="129"/>
    </row>
    <row r="68" spans="1:21" s="128" customFormat="1">
      <c r="A68" s="618" t="s">
        <v>616</v>
      </c>
      <c r="B68" s="757" t="s">
        <v>400</v>
      </c>
      <c r="C68" s="758" t="s">
        <v>8</v>
      </c>
      <c r="D68" s="759">
        <v>0</v>
      </c>
      <c r="E68" s="760">
        <f>SUM(F68:H68)</f>
        <v>0</v>
      </c>
      <c r="F68" s="761">
        <f t="shared" ref="F68:H70" si="45">IFERROR($D68*F95/100, 0)</f>
        <v>0</v>
      </c>
      <c r="G68" s="762">
        <f t="shared" si="45"/>
        <v>0</v>
      </c>
      <c r="H68" s="763">
        <f t="shared" si="45"/>
        <v>0</v>
      </c>
      <c r="I68" s="760">
        <f t="shared" si="43"/>
        <v>0</v>
      </c>
      <c r="J68" s="761">
        <f t="shared" ref="J68:M70" si="46">IFERROR($D68*J95/100, 0)</f>
        <v>0</v>
      </c>
      <c r="K68" s="762">
        <f t="shared" si="46"/>
        <v>0</v>
      </c>
      <c r="L68" s="763">
        <f t="shared" si="46"/>
        <v>0</v>
      </c>
      <c r="M68" s="760">
        <f t="shared" si="46"/>
        <v>0</v>
      </c>
      <c r="N68" s="764">
        <f t="shared" si="29"/>
        <v>0</v>
      </c>
      <c r="O68" s="762">
        <f t="shared" ref="O68:Q70" si="47">IFERROR($D68*O95/100, 0)</f>
        <v>0</v>
      </c>
      <c r="P68" s="765">
        <f t="shared" si="47"/>
        <v>0</v>
      </c>
      <c r="Q68" s="760">
        <f t="shared" si="47"/>
        <v>0</v>
      </c>
      <c r="R68" s="129" t="s">
        <v>1381</v>
      </c>
      <c r="S68" s="129"/>
      <c r="T68" s="129"/>
      <c r="U68" s="129"/>
    </row>
    <row r="69" spans="1:21" s="128" customFormat="1">
      <c r="A69" s="618" t="s">
        <v>616</v>
      </c>
      <c r="B69" s="757" t="s">
        <v>401</v>
      </c>
      <c r="C69" s="758" t="s">
        <v>9</v>
      </c>
      <c r="D69" s="759">
        <v>0</v>
      </c>
      <c r="E69" s="760">
        <f t="shared" ref="E69:E89" si="48">SUM(F69:H69)</f>
        <v>0</v>
      </c>
      <c r="F69" s="761">
        <f t="shared" si="45"/>
        <v>0</v>
      </c>
      <c r="G69" s="762">
        <f t="shared" si="45"/>
        <v>0</v>
      </c>
      <c r="H69" s="763">
        <f t="shared" si="45"/>
        <v>0</v>
      </c>
      <c r="I69" s="760">
        <f t="shared" si="43"/>
        <v>0</v>
      </c>
      <c r="J69" s="761">
        <f t="shared" si="46"/>
        <v>0</v>
      </c>
      <c r="K69" s="762">
        <f t="shared" si="46"/>
        <v>0</v>
      </c>
      <c r="L69" s="763">
        <f t="shared" si="46"/>
        <v>0</v>
      </c>
      <c r="M69" s="760">
        <f t="shared" si="46"/>
        <v>0</v>
      </c>
      <c r="N69" s="764">
        <f t="shared" si="29"/>
        <v>0</v>
      </c>
      <c r="O69" s="762">
        <f t="shared" si="47"/>
        <v>0</v>
      </c>
      <c r="P69" s="765">
        <f t="shared" si="47"/>
        <v>0</v>
      </c>
      <c r="Q69" s="760">
        <f t="shared" si="47"/>
        <v>0</v>
      </c>
      <c r="R69" s="129" t="s">
        <v>1383</v>
      </c>
      <c r="S69" s="129"/>
      <c r="T69" s="129"/>
      <c r="U69" s="129"/>
    </row>
    <row r="70" spans="1:21" s="128" customFormat="1">
      <c r="A70" s="618" t="s">
        <v>616</v>
      </c>
      <c r="B70" s="757" t="s">
        <v>618</v>
      </c>
      <c r="C70" s="758" t="s">
        <v>11</v>
      </c>
      <c r="D70" s="759">
        <v>0</v>
      </c>
      <c r="E70" s="760">
        <f t="shared" si="48"/>
        <v>0</v>
      </c>
      <c r="F70" s="761">
        <f t="shared" si="45"/>
        <v>0</v>
      </c>
      <c r="G70" s="762">
        <f t="shared" si="45"/>
        <v>0</v>
      </c>
      <c r="H70" s="763">
        <f t="shared" si="45"/>
        <v>0</v>
      </c>
      <c r="I70" s="760">
        <f t="shared" si="43"/>
        <v>0</v>
      </c>
      <c r="J70" s="761">
        <f t="shared" si="46"/>
        <v>0</v>
      </c>
      <c r="K70" s="762">
        <f t="shared" si="46"/>
        <v>0</v>
      </c>
      <c r="L70" s="763">
        <f t="shared" si="46"/>
        <v>0</v>
      </c>
      <c r="M70" s="760">
        <f t="shared" si="46"/>
        <v>0</v>
      </c>
      <c r="N70" s="764">
        <f t="shared" si="29"/>
        <v>0</v>
      </c>
      <c r="O70" s="762">
        <f t="shared" si="47"/>
        <v>0</v>
      </c>
      <c r="P70" s="765">
        <f t="shared" si="47"/>
        <v>0</v>
      </c>
      <c r="Q70" s="760">
        <f t="shared" si="47"/>
        <v>0</v>
      </c>
      <c r="R70" s="129" t="s">
        <v>1385</v>
      </c>
      <c r="S70" s="129"/>
      <c r="T70" s="129"/>
      <c r="U70" s="129"/>
    </row>
    <row r="71" spans="1:21" s="128" customFormat="1">
      <c r="A71" s="618" t="s">
        <v>616</v>
      </c>
      <c r="B71" s="755" t="s">
        <v>127</v>
      </c>
      <c r="C71" s="767" t="s">
        <v>13</v>
      </c>
      <c r="D71" s="715">
        <f>SUM(D72:D77)</f>
        <v>3.9514347375977517</v>
      </c>
      <c r="E71" s="716">
        <f t="shared" si="48"/>
        <v>1.0465308006879988</v>
      </c>
      <c r="F71" s="717">
        <f>SUM(F72:F77)</f>
        <v>6.5421552730310403E-2</v>
      </c>
      <c r="G71" s="718">
        <f>SUM(G72:G77)</f>
        <v>0.12174058818206823</v>
      </c>
      <c r="H71" s="719">
        <f>SUM(H72:H77)</f>
        <v>0.85936865977562005</v>
      </c>
      <c r="I71" s="716">
        <f t="shared" si="43"/>
        <v>2.5076235714517399</v>
      </c>
      <c r="J71" s="717">
        <f t="shared" ref="J71:Q71" si="49">SUM(J72:J77)</f>
        <v>1.255193776780448</v>
      </c>
      <c r="K71" s="718">
        <f t="shared" si="49"/>
        <v>0.82089828705956758</v>
      </c>
      <c r="L71" s="719">
        <f t="shared" si="49"/>
        <v>0.43153150761172454</v>
      </c>
      <c r="M71" s="716">
        <f t="shared" si="49"/>
        <v>0.38016967911769428</v>
      </c>
      <c r="N71" s="720">
        <f t="shared" si="29"/>
        <v>1.1052616458168693E-3</v>
      </c>
      <c r="O71" s="718">
        <f>SUM(O72:O77)</f>
        <v>1.1052616458168693E-3</v>
      </c>
      <c r="P71" s="728">
        <f t="shared" si="49"/>
        <v>0</v>
      </c>
      <c r="Q71" s="716">
        <f t="shared" si="49"/>
        <v>1.6005424694501259E-2</v>
      </c>
      <c r="R71" s="129"/>
      <c r="S71" s="129"/>
      <c r="T71" s="129"/>
      <c r="U71" s="129"/>
    </row>
    <row r="72" spans="1:21" s="128" customFormat="1">
      <c r="A72" s="618" t="s">
        <v>616</v>
      </c>
      <c r="B72" s="757" t="s">
        <v>129</v>
      </c>
      <c r="C72" s="758" t="s">
        <v>15</v>
      </c>
      <c r="D72" s="759">
        <v>3.9514347375977517</v>
      </c>
      <c r="E72" s="760">
        <f t="shared" si="48"/>
        <v>1.0465308006879988</v>
      </c>
      <c r="F72" s="761">
        <f t="shared" ref="F72:H77" si="50">IFERROR($D72*F98/100, 0)</f>
        <v>6.5421552730310403E-2</v>
      </c>
      <c r="G72" s="762">
        <f t="shared" si="50"/>
        <v>0.12174058818206823</v>
      </c>
      <c r="H72" s="763">
        <f t="shared" si="50"/>
        <v>0.85936865977562005</v>
      </c>
      <c r="I72" s="760">
        <f t="shared" si="43"/>
        <v>2.5076235714517399</v>
      </c>
      <c r="J72" s="761">
        <f t="shared" ref="J72:M77" si="51">IFERROR($D72*J98/100, 0)</f>
        <v>1.255193776780448</v>
      </c>
      <c r="K72" s="762">
        <f t="shared" si="51"/>
        <v>0.82089828705956758</v>
      </c>
      <c r="L72" s="763">
        <f t="shared" si="51"/>
        <v>0.43153150761172454</v>
      </c>
      <c r="M72" s="760">
        <f t="shared" si="51"/>
        <v>0.38016967911769428</v>
      </c>
      <c r="N72" s="764">
        <f t="shared" si="29"/>
        <v>1.1052616458168693E-3</v>
      </c>
      <c r="O72" s="762">
        <f t="shared" ref="O72:Q77" si="52">IFERROR($D72*O98/100, 0)</f>
        <v>1.1052616458168693E-3</v>
      </c>
      <c r="P72" s="765">
        <f t="shared" si="52"/>
        <v>0</v>
      </c>
      <c r="Q72" s="760">
        <f t="shared" si="52"/>
        <v>1.6005424694501259E-2</v>
      </c>
      <c r="R72" s="129" t="s">
        <v>1387</v>
      </c>
      <c r="S72" s="129"/>
      <c r="T72" s="129"/>
      <c r="U72" s="129"/>
    </row>
    <row r="73" spans="1:21" s="128" customFormat="1">
      <c r="A73" s="618" t="s">
        <v>616</v>
      </c>
      <c r="B73" s="757" t="s">
        <v>131</v>
      </c>
      <c r="C73" s="758" t="s">
        <v>593</v>
      </c>
      <c r="D73" s="759">
        <v>0</v>
      </c>
      <c r="E73" s="760">
        <f t="shared" si="48"/>
        <v>0</v>
      </c>
      <c r="F73" s="761">
        <f t="shared" si="50"/>
        <v>0</v>
      </c>
      <c r="G73" s="762">
        <f t="shared" si="50"/>
        <v>0</v>
      </c>
      <c r="H73" s="763">
        <f t="shared" si="50"/>
        <v>0</v>
      </c>
      <c r="I73" s="760">
        <f t="shared" si="43"/>
        <v>0</v>
      </c>
      <c r="J73" s="761">
        <f t="shared" si="51"/>
        <v>0</v>
      </c>
      <c r="K73" s="762">
        <f t="shared" si="51"/>
        <v>0</v>
      </c>
      <c r="L73" s="763">
        <f t="shared" si="51"/>
        <v>0</v>
      </c>
      <c r="M73" s="760">
        <f t="shared" si="51"/>
        <v>0</v>
      </c>
      <c r="N73" s="764">
        <f t="shared" si="29"/>
        <v>0</v>
      </c>
      <c r="O73" s="762">
        <f t="shared" si="52"/>
        <v>0</v>
      </c>
      <c r="P73" s="765">
        <f t="shared" si="52"/>
        <v>0</v>
      </c>
      <c r="Q73" s="760">
        <f t="shared" si="52"/>
        <v>0</v>
      </c>
      <c r="R73" s="890" t="s">
        <v>1389</v>
      </c>
      <c r="S73" s="890" t="s">
        <v>1391</v>
      </c>
      <c r="T73" s="890" t="s">
        <v>1393</v>
      </c>
      <c r="U73" s="890" t="s">
        <v>1395</v>
      </c>
    </row>
    <row r="74" spans="1:21" s="128" customFormat="1">
      <c r="A74" s="618" t="s">
        <v>616</v>
      </c>
      <c r="B74" s="757" t="s">
        <v>133</v>
      </c>
      <c r="C74" s="758" t="s">
        <v>21</v>
      </c>
      <c r="D74" s="759">
        <v>0</v>
      </c>
      <c r="E74" s="760">
        <f t="shared" si="48"/>
        <v>0</v>
      </c>
      <c r="F74" s="761">
        <f t="shared" si="50"/>
        <v>0</v>
      </c>
      <c r="G74" s="762">
        <f t="shared" si="50"/>
        <v>0</v>
      </c>
      <c r="H74" s="763">
        <f t="shared" si="50"/>
        <v>0</v>
      </c>
      <c r="I74" s="760">
        <f t="shared" si="43"/>
        <v>0</v>
      </c>
      <c r="J74" s="761">
        <f t="shared" si="51"/>
        <v>0</v>
      </c>
      <c r="K74" s="762">
        <f t="shared" si="51"/>
        <v>0</v>
      </c>
      <c r="L74" s="763">
        <f t="shared" si="51"/>
        <v>0</v>
      </c>
      <c r="M74" s="760">
        <f t="shared" si="51"/>
        <v>0</v>
      </c>
      <c r="N74" s="764">
        <f t="shared" si="29"/>
        <v>0</v>
      </c>
      <c r="O74" s="762">
        <f t="shared" si="52"/>
        <v>0</v>
      </c>
      <c r="P74" s="765">
        <f t="shared" si="52"/>
        <v>0</v>
      </c>
      <c r="Q74" s="760">
        <f t="shared" si="52"/>
        <v>0</v>
      </c>
      <c r="R74" s="890" t="s">
        <v>1397</v>
      </c>
      <c r="S74" s="129"/>
      <c r="T74" s="129"/>
      <c r="U74" s="129"/>
    </row>
    <row r="75" spans="1:21" s="128" customFormat="1">
      <c r="A75" s="618" t="s">
        <v>616</v>
      </c>
      <c r="B75" s="757" t="s">
        <v>619</v>
      </c>
      <c r="C75" s="758" t="s">
        <v>23</v>
      </c>
      <c r="D75" s="759">
        <v>0</v>
      </c>
      <c r="E75" s="760">
        <f t="shared" si="48"/>
        <v>0</v>
      </c>
      <c r="F75" s="761">
        <f t="shared" si="50"/>
        <v>0</v>
      </c>
      <c r="G75" s="762">
        <f t="shared" si="50"/>
        <v>0</v>
      </c>
      <c r="H75" s="763">
        <f t="shared" si="50"/>
        <v>0</v>
      </c>
      <c r="I75" s="760">
        <f t="shared" si="43"/>
        <v>0</v>
      </c>
      <c r="J75" s="761">
        <f t="shared" si="51"/>
        <v>0</v>
      </c>
      <c r="K75" s="762">
        <f t="shared" si="51"/>
        <v>0</v>
      </c>
      <c r="L75" s="763">
        <f t="shared" si="51"/>
        <v>0</v>
      </c>
      <c r="M75" s="760">
        <f t="shared" si="51"/>
        <v>0</v>
      </c>
      <c r="N75" s="764">
        <f t="shared" si="29"/>
        <v>0</v>
      </c>
      <c r="O75" s="762">
        <f t="shared" si="52"/>
        <v>0</v>
      </c>
      <c r="P75" s="765">
        <f t="shared" si="52"/>
        <v>0</v>
      </c>
      <c r="Q75" s="760">
        <f t="shared" si="52"/>
        <v>0</v>
      </c>
      <c r="R75" s="890" t="s">
        <v>1399</v>
      </c>
      <c r="S75" s="129"/>
      <c r="T75" s="129"/>
      <c r="U75" s="129"/>
    </row>
    <row r="76" spans="1:21" s="128" customFormat="1">
      <c r="A76" s="618" t="s">
        <v>616</v>
      </c>
      <c r="B76" s="757" t="s">
        <v>620</v>
      </c>
      <c r="C76" s="758" t="s">
        <v>25</v>
      </c>
      <c r="D76" s="759">
        <v>0</v>
      </c>
      <c r="E76" s="760">
        <f t="shared" si="48"/>
        <v>0</v>
      </c>
      <c r="F76" s="761">
        <f t="shared" si="50"/>
        <v>0</v>
      </c>
      <c r="G76" s="762">
        <f t="shared" si="50"/>
        <v>0</v>
      </c>
      <c r="H76" s="763">
        <f t="shared" si="50"/>
        <v>0</v>
      </c>
      <c r="I76" s="760">
        <f t="shared" si="43"/>
        <v>0</v>
      </c>
      <c r="J76" s="761">
        <f t="shared" si="51"/>
        <v>0</v>
      </c>
      <c r="K76" s="762">
        <f t="shared" si="51"/>
        <v>0</v>
      </c>
      <c r="L76" s="763">
        <f t="shared" si="51"/>
        <v>0</v>
      </c>
      <c r="M76" s="760">
        <f t="shared" si="51"/>
        <v>0</v>
      </c>
      <c r="N76" s="764">
        <f t="shared" si="29"/>
        <v>0</v>
      </c>
      <c r="O76" s="762">
        <f t="shared" si="52"/>
        <v>0</v>
      </c>
      <c r="P76" s="765">
        <f t="shared" si="52"/>
        <v>0</v>
      </c>
      <c r="Q76" s="760">
        <f t="shared" si="52"/>
        <v>0</v>
      </c>
      <c r="R76" s="890" t="s">
        <v>1401</v>
      </c>
      <c r="S76" s="129"/>
      <c r="T76" s="129"/>
      <c r="U76" s="129"/>
    </row>
    <row r="77" spans="1:21" s="128" customFormat="1" ht="39">
      <c r="A77" s="618" t="s">
        <v>616</v>
      </c>
      <c r="B77" s="757" t="s">
        <v>621</v>
      </c>
      <c r="C77" s="758" t="s">
        <v>597</v>
      </c>
      <c r="D77" s="759">
        <v>0</v>
      </c>
      <c r="E77" s="760">
        <f t="shared" si="48"/>
        <v>0</v>
      </c>
      <c r="F77" s="761">
        <f t="shared" si="50"/>
        <v>0</v>
      </c>
      <c r="G77" s="762">
        <f t="shared" si="50"/>
        <v>0</v>
      </c>
      <c r="H77" s="763">
        <f t="shared" si="50"/>
        <v>0</v>
      </c>
      <c r="I77" s="760">
        <f t="shared" si="43"/>
        <v>0</v>
      </c>
      <c r="J77" s="761">
        <f t="shared" si="51"/>
        <v>0</v>
      </c>
      <c r="K77" s="762">
        <f t="shared" si="51"/>
        <v>0</v>
      </c>
      <c r="L77" s="763">
        <f t="shared" si="51"/>
        <v>0</v>
      </c>
      <c r="M77" s="760">
        <f t="shared" si="51"/>
        <v>0</v>
      </c>
      <c r="N77" s="764">
        <f t="shared" si="29"/>
        <v>0</v>
      </c>
      <c r="O77" s="762">
        <f t="shared" si="52"/>
        <v>0</v>
      </c>
      <c r="P77" s="765">
        <f t="shared" si="52"/>
        <v>0</v>
      </c>
      <c r="Q77" s="760">
        <f t="shared" si="52"/>
        <v>0</v>
      </c>
      <c r="R77" s="890" t="s">
        <v>1403</v>
      </c>
      <c r="S77" s="129"/>
      <c r="T77" s="129"/>
      <c r="U77" s="129"/>
    </row>
    <row r="78" spans="1:21" s="128" customFormat="1">
      <c r="A78" s="618" t="s">
        <v>616</v>
      </c>
      <c r="B78" s="755" t="s">
        <v>135</v>
      </c>
      <c r="C78" s="768" t="s">
        <v>29</v>
      </c>
      <c r="D78" s="715">
        <f>D79+D80</f>
        <v>0.24713604341736689</v>
      </c>
      <c r="E78" s="716">
        <f t="shared" si="48"/>
        <v>6.5453562711167715E-2</v>
      </c>
      <c r="F78" s="717">
        <f>F79+F80</f>
        <v>4.0916843550904223E-3</v>
      </c>
      <c r="G78" s="718">
        <f>G79+G80</f>
        <v>7.6140666073382431E-3</v>
      </c>
      <c r="H78" s="719">
        <f>H79+H80</f>
        <v>5.3747811748739049E-2</v>
      </c>
      <c r="I78" s="716">
        <f t="shared" si="43"/>
        <v>0.15683522795709059</v>
      </c>
      <c r="J78" s="717">
        <f t="shared" ref="J78:Q78" si="53">J79+J80</f>
        <v>7.8504048355916345E-2</v>
      </c>
      <c r="K78" s="718">
        <f t="shared" si="53"/>
        <v>5.1341745007619954E-2</v>
      </c>
      <c r="L78" s="719">
        <f t="shared" si="53"/>
        <v>2.698943459355431E-2</v>
      </c>
      <c r="M78" s="716">
        <f t="shared" si="53"/>
        <v>2.377709276846501E-2</v>
      </c>
      <c r="N78" s="720">
        <f t="shared" si="29"/>
        <v>6.9126787667561954E-5</v>
      </c>
      <c r="O78" s="718">
        <f>O79+O80</f>
        <v>6.9126787667561954E-5</v>
      </c>
      <c r="P78" s="728">
        <f t="shared" si="53"/>
        <v>0</v>
      </c>
      <c r="Q78" s="716">
        <f t="shared" si="53"/>
        <v>1.0010331929759745E-3</v>
      </c>
      <c r="R78" s="129"/>
      <c r="S78" s="129"/>
      <c r="T78" s="129"/>
      <c r="U78" s="129"/>
    </row>
    <row r="79" spans="1:21" s="128" customFormat="1" ht="52.5">
      <c r="A79" s="618" t="s">
        <v>616</v>
      </c>
      <c r="B79" s="757" t="s">
        <v>402</v>
      </c>
      <c r="C79" s="769" t="s">
        <v>31</v>
      </c>
      <c r="D79" s="759">
        <v>0.24713604341736689</v>
      </c>
      <c r="E79" s="760">
        <f t="shared" si="48"/>
        <v>6.5453562711167715E-2</v>
      </c>
      <c r="F79" s="761">
        <f t="shared" ref="F79:H80" si="54">IFERROR($D79*F104/100, 0)</f>
        <v>4.0916843550904223E-3</v>
      </c>
      <c r="G79" s="762">
        <f t="shared" si="54"/>
        <v>7.6140666073382431E-3</v>
      </c>
      <c r="H79" s="763">
        <f t="shared" si="54"/>
        <v>5.3747811748739049E-2</v>
      </c>
      <c r="I79" s="760">
        <f t="shared" si="43"/>
        <v>0.15683522795709059</v>
      </c>
      <c r="J79" s="761">
        <f t="shared" ref="J79:M80" si="55">IFERROR($D79*J104/100, 0)</f>
        <v>7.8504048355916345E-2</v>
      </c>
      <c r="K79" s="762">
        <f t="shared" si="55"/>
        <v>5.1341745007619954E-2</v>
      </c>
      <c r="L79" s="763">
        <f t="shared" si="55"/>
        <v>2.698943459355431E-2</v>
      </c>
      <c r="M79" s="760">
        <f t="shared" si="55"/>
        <v>2.377709276846501E-2</v>
      </c>
      <c r="N79" s="764">
        <f t="shared" si="29"/>
        <v>6.9126787667561954E-5</v>
      </c>
      <c r="O79" s="762">
        <f t="shared" ref="O79:Q80" si="56">IFERROR($D79*O104/100, 0)</f>
        <v>6.9126787667561954E-5</v>
      </c>
      <c r="P79" s="765">
        <f t="shared" si="56"/>
        <v>0</v>
      </c>
      <c r="Q79" s="760">
        <f t="shared" si="56"/>
        <v>1.0010331929759745E-3</v>
      </c>
      <c r="R79" s="890" t="s">
        <v>1405</v>
      </c>
      <c r="S79" s="129"/>
      <c r="T79" s="129"/>
      <c r="U79" s="129"/>
    </row>
    <row r="80" spans="1:21" s="128" customFormat="1">
      <c r="A80" s="618" t="s">
        <v>616</v>
      </c>
      <c r="B80" s="757" t="s">
        <v>622</v>
      </c>
      <c r="C80" s="769" t="s">
        <v>33</v>
      </c>
      <c r="D80" s="759">
        <v>0</v>
      </c>
      <c r="E80" s="760">
        <f t="shared" si="48"/>
        <v>0</v>
      </c>
      <c r="F80" s="761">
        <f t="shared" si="54"/>
        <v>0</v>
      </c>
      <c r="G80" s="762">
        <f t="shared" si="54"/>
        <v>0</v>
      </c>
      <c r="H80" s="763">
        <f t="shared" si="54"/>
        <v>0</v>
      </c>
      <c r="I80" s="760">
        <f t="shared" si="43"/>
        <v>0</v>
      </c>
      <c r="J80" s="761">
        <f t="shared" si="55"/>
        <v>0</v>
      </c>
      <c r="K80" s="762">
        <f t="shared" si="55"/>
        <v>0</v>
      </c>
      <c r="L80" s="763">
        <f t="shared" si="55"/>
        <v>0</v>
      </c>
      <c r="M80" s="760">
        <f t="shared" si="55"/>
        <v>0</v>
      </c>
      <c r="N80" s="764">
        <f t="shared" si="29"/>
        <v>0</v>
      </c>
      <c r="O80" s="762">
        <f t="shared" si="56"/>
        <v>0</v>
      </c>
      <c r="P80" s="765">
        <f t="shared" si="56"/>
        <v>0</v>
      </c>
      <c r="Q80" s="760">
        <f t="shared" si="56"/>
        <v>0</v>
      </c>
      <c r="R80" s="890" t="s">
        <v>1407</v>
      </c>
      <c r="S80" s="129"/>
      <c r="T80" s="129"/>
      <c r="U80" s="129"/>
    </row>
    <row r="81" spans="1:21" s="128" customFormat="1">
      <c r="A81" s="618" t="s">
        <v>616</v>
      </c>
      <c r="B81" s="755" t="s">
        <v>403</v>
      </c>
      <c r="C81" s="768" t="s">
        <v>35</v>
      </c>
      <c r="D81" s="715">
        <f>D82+D86</f>
        <v>1.6071329098360656</v>
      </c>
      <c r="E81" s="716">
        <f t="shared" si="48"/>
        <v>0.42564643038120364</v>
      </c>
      <c r="F81" s="717">
        <f>F82+F86</f>
        <v>2.66083428899998E-2</v>
      </c>
      <c r="G81" s="718">
        <f>G82+G86</f>
        <v>4.9514497574404473E-2</v>
      </c>
      <c r="H81" s="719">
        <f>H82+H86</f>
        <v>0.34952358991679938</v>
      </c>
      <c r="I81" s="716">
        <f t="shared" si="43"/>
        <v>1.0199040689738952</v>
      </c>
      <c r="J81" s="717">
        <f t="shared" ref="J81:Q81" si="57">J82+J86</f>
        <v>0.51051411976796668</v>
      </c>
      <c r="K81" s="718">
        <f t="shared" si="57"/>
        <v>0.33387686761177288</v>
      </c>
      <c r="L81" s="719">
        <f t="shared" si="57"/>
        <v>0.17551308159415563</v>
      </c>
      <c r="M81" s="716">
        <f t="shared" si="57"/>
        <v>0.15462312886465804</v>
      </c>
      <c r="N81" s="720">
        <f t="shared" si="29"/>
        <v>4.4953351957718407E-4</v>
      </c>
      <c r="O81" s="718">
        <f>O82+O86</f>
        <v>4.4953351957718407E-4</v>
      </c>
      <c r="P81" s="728">
        <f t="shared" si="57"/>
        <v>0</v>
      </c>
      <c r="Q81" s="716">
        <f t="shared" si="57"/>
        <v>6.5097480967315335E-3</v>
      </c>
      <c r="R81" s="129"/>
      <c r="S81" s="129"/>
      <c r="T81" s="129"/>
      <c r="U81" s="129"/>
    </row>
    <row r="82" spans="1:21" s="128" customFormat="1">
      <c r="A82" s="618" t="s">
        <v>616</v>
      </c>
      <c r="B82" s="770" t="s">
        <v>404</v>
      </c>
      <c r="C82" s="769" t="s">
        <v>37</v>
      </c>
      <c r="D82" s="759">
        <v>0</v>
      </c>
      <c r="E82" s="760">
        <f t="shared" si="48"/>
        <v>0</v>
      </c>
      <c r="F82" s="761">
        <f>IFERROR($D82*F106/100, 0)</f>
        <v>0</v>
      </c>
      <c r="G82" s="762">
        <f>IFERROR($D82*G106/100, 0)</f>
        <v>0</v>
      </c>
      <c r="H82" s="763">
        <f>IFERROR($D82*H106/100, 0)</f>
        <v>0</v>
      </c>
      <c r="I82" s="760">
        <f t="shared" si="43"/>
        <v>0</v>
      </c>
      <c r="J82" s="761">
        <f>IFERROR($D82*J106/100, 0)</f>
        <v>0</v>
      </c>
      <c r="K82" s="762">
        <f>IFERROR($D82*K106/100, 0)</f>
        <v>0</v>
      </c>
      <c r="L82" s="763">
        <f>IFERROR($D82*L106/100, 0)</f>
        <v>0</v>
      </c>
      <c r="M82" s="760">
        <f>IFERROR($D82*M106/100, 0)</f>
        <v>0</v>
      </c>
      <c r="N82" s="764">
        <f t="shared" si="29"/>
        <v>0</v>
      </c>
      <c r="O82" s="762">
        <f>IFERROR($D82*O106/100, 0)</f>
        <v>0</v>
      </c>
      <c r="P82" s="765">
        <f>IFERROR($D82*P106/100, 0)</f>
        <v>0</v>
      </c>
      <c r="Q82" s="760">
        <f>IFERROR($D82*Q106/100, 0)</f>
        <v>0</v>
      </c>
      <c r="R82" s="890" t="s">
        <v>1409</v>
      </c>
      <c r="S82" s="129"/>
      <c r="T82" s="129"/>
      <c r="U82" s="129"/>
    </row>
    <row r="83" spans="1:21" s="128" customFormat="1">
      <c r="A83" s="618" t="s">
        <v>616</v>
      </c>
      <c r="B83" s="770" t="s">
        <v>405</v>
      </c>
      <c r="C83" s="771" t="s">
        <v>40</v>
      </c>
      <c r="D83" s="759">
        <v>0</v>
      </c>
      <c r="E83" s="760">
        <f t="shared" si="48"/>
        <v>0</v>
      </c>
      <c r="F83" s="761">
        <f t="shared" ref="F83:H85" si="58">IFERROR($D83*F107/100, 0)</f>
        <v>0</v>
      </c>
      <c r="G83" s="762">
        <f t="shared" si="58"/>
        <v>0</v>
      </c>
      <c r="H83" s="763">
        <f t="shared" si="58"/>
        <v>0</v>
      </c>
      <c r="I83" s="760">
        <f t="shared" ref="I83:I85" si="59">SUM(J83:L83)</f>
        <v>0</v>
      </c>
      <c r="J83" s="761">
        <f t="shared" ref="J83:M85" si="60">IFERROR($D83*J107/100, 0)</f>
        <v>0</v>
      </c>
      <c r="K83" s="762">
        <f t="shared" si="60"/>
        <v>0</v>
      </c>
      <c r="L83" s="763">
        <f t="shared" si="60"/>
        <v>0</v>
      </c>
      <c r="M83" s="760">
        <f t="shared" si="60"/>
        <v>0</v>
      </c>
      <c r="N83" s="764">
        <f t="shared" si="29"/>
        <v>0</v>
      </c>
      <c r="O83" s="762">
        <f t="shared" ref="O83:Q85" si="61">IFERROR($D83*O107/100, 0)</f>
        <v>0</v>
      </c>
      <c r="P83" s="765">
        <f t="shared" si="61"/>
        <v>0</v>
      </c>
      <c r="Q83" s="760">
        <f t="shared" si="61"/>
        <v>0</v>
      </c>
      <c r="R83" s="890" t="s">
        <v>1411</v>
      </c>
      <c r="S83" s="129"/>
      <c r="T83" s="129"/>
      <c r="U83" s="129"/>
    </row>
    <row r="84" spans="1:21" s="128" customFormat="1">
      <c r="A84" s="618" t="s">
        <v>616</v>
      </c>
      <c r="B84" s="770" t="s">
        <v>406</v>
      </c>
      <c r="C84" s="771" t="s">
        <v>43</v>
      </c>
      <c r="D84" s="759">
        <v>0</v>
      </c>
      <c r="E84" s="760">
        <f t="shared" si="48"/>
        <v>0</v>
      </c>
      <c r="F84" s="761">
        <f t="shared" si="58"/>
        <v>0</v>
      </c>
      <c r="G84" s="762">
        <f t="shared" si="58"/>
        <v>0</v>
      </c>
      <c r="H84" s="763">
        <f t="shared" si="58"/>
        <v>0</v>
      </c>
      <c r="I84" s="760">
        <f t="shared" si="59"/>
        <v>0</v>
      </c>
      <c r="J84" s="761">
        <f t="shared" si="60"/>
        <v>0</v>
      </c>
      <c r="K84" s="762">
        <f t="shared" si="60"/>
        <v>0</v>
      </c>
      <c r="L84" s="763">
        <f t="shared" si="60"/>
        <v>0</v>
      </c>
      <c r="M84" s="760">
        <f t="shared" si="60"/>
        <v>0</v>
      </c>
      <c r="N84" s="764">
        <f t="shared" si="29"/>
        <v>0</v>
      </c>
      <c r="O84" s="762">
        <f t="shared" si="61"/>
        <v>0</v>
      </c>
      <c r="P84" s="765">
        <f t="shared" si="61"/>
        <v>0</v>
      </c>
      <c r="Q84" s="760">
        <f t="shared" si="61"/>
        <v>0</v>
      </c>
      <c r="R84" s="890" t="s">
        <v>1413</v>
      </c>
      <c r="S84" s="129"/>
      <c r="T84" s="129"/>
      <c r="U84" s="129"/>
    </row>
    <row r="85" spans="1:21" s="128" customFormat="1" ht="26.5">
      <c r="A85" s="618" t="s">
        <v>616</v>
      </c>
      <c r="B85" s="770" t="s">
        <v>407</v>
      </c>
      <c r="C85" s="771" t="s">
        <v>45</v>
      </c>
      <c r="D85" s="759">
        <v>0</v>
      </c>
      <c r="E85" s="760">
        <f t="shared" si="48"/>
        <v>0</v>
      </c>
      <c r="F85" s="761">
        <f t="shared" si="58"/>
        <v>0</v>
      </c>
      <c r="G85" s="762">
        <f t="shared" si="58"/>
        <v>0</v>
      </c>
      <c r="H85" s="763">
        <f t="shared" si="58"/>
        <v>0</v>
      </c>
      <c r="I85" s="760">
        <f t="shared" si="59"/>
        <v>0</v>
      </c>
      <c r="J85" s="761">
        <f t="shared" si="60"/>
        <v>0</v>
      </c>
      <c r="K85" s="762">
        <f t="shared" si="60"/>
        <v>0</v>
      </c>
      <c r="L85" s="763">
        <f t="shared" si="60"/>
        <v>0</v>
      </c>
      <c r="M85" s="760">
        <f t="shared" si="60"/>
        <v>0</v>
      </c>
      <c r="N85" s="764">
        <f t="shared" si="29"/>
        <v>0</v>
      </c>
      <c r="O85" s="762">
        <f t="shared" si="61"/>
        <v>0</v>
      </c>
      <c r="P85" s="765">
        <f t="shared" si="61"/>
        <v>0</v>
      </c>
      <c r="Q85" s="760">
        <f t="shared" si="61"/>
        <v>0</v>
      </c>
      <c r="R85" s="890" t="s">
        <v>1415</v>
      </c>
      <c r="S85" s="129"/>
      <c r="T85" s="129"/>
      <c r="U85" s="129"/>
    </row>
    <row r="86" spans="1:21" s="128" customFormat="1" ht="26.5">
      <c r="A86" s="618" t="s">
        <v>616</v>
      </c>
      <c r="B86" s="770" t="s">
        <v>408</v>
      </c>
      <c r="C86" s="771" t="s">
        <v>603</v>
      </c>
      <c r="D86" s="759">
        <v>1.6071329098360656</v>
      </c>
      <c r="E86" s="760">
        <f t="shared" si="48"/>
        <v>0.42564643038120364</v>
      </c>
      <c r="F86" s="761">
        <f>IFERROR($D86*F110/100, 0)</f>
        <v>2.66083428899998E-2</v>
      </c>
      <c r="G86" s="762">
        <f>IFERROR($D86*G110/100, 0)</f>
        <v>4.9514497574404473E-2</v>
      </c>
      <c r="H86" s="763">
        <f>IFERROR($D86*H110/100, 0)</f>
        <v>0.34952358991679938</v>
      </c>
      <c r="I86" s="760">
        <f t="shared" si="43"/>
        <v>1.0199040689738952</v>
      </c>
      <c r="J86" s="761">
        <f>IFERROR($D86*J110/100, 0)</f>
        <v>0.51051411976796668</v>
      </c>
      <c r="K86" s="762">
        <f>IFERROR($D86*K110/100, 0)</f>
        <v>0.33387686761177288</v>
      </c>
      <c r="L86" s="763">
        <f>IFERROR($D86*L110/100, 0)</f>
        <v>0.17551308159415563</v>
      </c>
      <c r="M86" s="760">
        <f>IFERROR($D86*M110/100, 0)</f>
        <v>0.15462312886465804</v>
      </c>
      <c r="N86" s="764">
        <f t="shared" si="29"/>
        <v>4.4953351957718407E-4</v>
      </c>
      <c r="O86" s="762">
        <f>IFERROR($D86*O110/100, 0)</f>
        <v>4.4953351957718407E-4</v>
      </c>
      <c r="P86" s="765">
        <f>IFERROR($D86*P110/100, 0)</f>
        <v>0</v>
      </c>
      <c r="Q86" s="760">
        <f>IFERROR($D86*Q110/100, 0)</f>
        <v>6.5097480967315335E-3</v>
      </c>
      <c r="R86" s="890" t="s">
        <v>1417</v>
      </c>
      <c r="S86" s="129"/>
      <c r="T86" s="129"/>
      <c r="U86" s="129"/>
    </row>
    <row r="87" spans="1:21" s="128" customFormat="1">
      <c r="A87" s="618" t="s">
        <v>616</v>
      </c>
      <c r="B87" s="755" t="s">
        <v>409</v>
      </c>
      <c r="C87" s="772" t="s">
        <v>51</v>
      </c>
      <c r="D87" s="730">
        <f>D88+D89</f>
        <v>5.2994719696969685</v>
      </c>
      <c r="E87" s="731">
        <f t="shared" si="48"/>
        <v>1.403556179455532</v>
      </c>
      <c r="F87" s="738">
        <f>F88+F89</f>
        <v>8.7740202719153573E-2</v>
      </c>
      <c r="G87" s="739">
        <f>G88+G89</f>
        <v>0.163272552247064</v>
      </c>
      <c r="H87" s="740">
        <f>H88+H89</f>
        <v>1.1525434244893145</v>
      </c>
      <c r="I87" s="731">
        <f t="shared" si="43"/>
        <v>3.3631026981199508</v>
      </c>
      <c r="J87" s="738">
        <f>J88+J89</f>
        <v>1.6834048082064523</v>
      </c>
      <c r="K87" s="739">
        <f>K88+K89</f>
        <v>1.1009488328002062</v>
      </c>
      <c r="L87" s="740">
        <f>L88+L89</f>
        <v>0.57874905711329216</v>
      </c>
      <c r="M87" s="731">
        <f>M88+M89</f>
        <v>0.50986507230984512</v>
      </c>
      <c r="N87" s="736">
        <f t="shared" si="29"/>
        <v>1.4823231307493504E-3</v>
      </c>
      <c r="O87" s="739">
        <f>O88+O89</f>
        <v>1.4823231307493504E-3</v>
      </c>
      <c r="P87" s="741">
        <f>P88+P89</f>
        <v>0</v>
      </c>
      <c r="Q87" s="731">
        <f>Q88+Q89</f>
        <v>2.1465696680889892E-2</v>
      </c>
      <c r="R87" s="129"/>
      <c r="S87" s="129"/>
      <c r="T87" s="129"/>
      <c r="U87" s="129"/>
    </row>
    <row r="88" spans="1:21" s="128" customFormat="1">
      <c r="A88" s="618" t="s">
        <v>616</v>
      </c>
      <c r="B88" s="773" t="s">
        <v>623</v>
      </c>
      <c r="C88" s="774" t="s">
        <v>53</v>
      </c>
      <c r="D88" s="907">
        <v>4.6083333333333343</v>
      </c>
      <c r="E88" s="760">
        <f t="shared" si="48"/>
        <v>1.2205092816748619</v>
      </c>
      <c r="F88" s="761">
        <f>IFERROR($D88*F111/100, 0)</f>
        <v>7.6297431739641791E-2</v>
      </c>
      <c r="G88" s="762">
        <f>IFERROR($D88*G111/100, 0)</f>
        <v>0.14197911588946052</v>
      </c>
      <c r="H88" s="763">
        <f>IFERROR($D88*H111/100, 0)</f>
        <v>1.0022327340457595</v>
      </c>
      <c r="I88" s="760">
        <f t="shared" si="43"/>
        <v>2.9244985832155761</v>
      </c>
      <c r="J88" s="761">
        <f>IFERROR($D88*J111/100, 0)</f>
        <v>1.4638610290819218</v>
      </c>
      <c r="K88" s="762">
        <f>IFERROR($D88*K111/100, 0)</f>
        <v>0.95736692891268005</v>
      </c>
      <c r="L88" s="763">
        <f>IFERROR($D88*L111/100, 0)</f>
        <v>0.50327062522097443</v>
      </c>
      <c r="M88" s="760">
        <f>IFERROR($D88*M111/100, 0)</f>
        <v>0.44337024927451885</v>
      </c>
      <c r="N88" s="764">
        <f t="shared" si="29"/>
        <v>1.2890037221187278E-3</v>
      </c>
      <c r="O88" s="762">
        <f>IFERROR($D88*O111/100, 0)</f>
        <v>1.2890037221187278E-3</v>
      </c>
      <c r="P88" s="765">
        <f>IFERROR($D88*P111/100, 0)</f>
        <v>0</v>
      </c>
      <c r="Q88" s="760">
        <f>IFERROR($D88*Q111/100, 0)</f>
        <v>1.8666215446257767E-2</v>
      </c>
      <c r="R88" s="129" t="s">
        <v>1435</v>
      </c>
      <c r="S88" s="129"/>
      <c r="T88" s="129"/>
      <c r="U88" s="129"/>
    </row>
    <row r="89" spans="1:21" s="128" customFormat="1" ht="26.5">
      <c r="A89" s="618" t="s">
        <v>616</v>
      </c>
      <c r="B89" s="773" t="s">
        <v>624</v>
      </c>
      <c r="C89" s="775" t="s">
        <v>55</v>
      </c>
      <c r="D89" s="908">
        <v>0.69113863636363382</v>
      </c>
      <c r="E89" s="760">
        <f t="shared" si="48"/>
        <v>0.18304689778067029</v>
      </c>
      <c r="F89" s="761">
        <f t="shared" ref="F89:H89" si="62">IFERROR($D89*F112/100, 0)</f>
        <v>1.1442770979511779E-2</v>
      </c>
      <c r="G89" s="762">
        <f t="shared" si="62"/>
        <v>2.1293436357603484E-2</v>
      </c>
      <c r="H89" s="763">
        <f t="shared" si="62"/>
        <v>0.15031069044355502</v>
      </c>
      <c r="I89" s="760">
        <f t="shared" si="43"/>
        <v>0.43860411490437445</v>
      </c>
      <c r="J89" s="761">
        <f t="shared" ref="J89:Q89" si="63">IFERROR($D89*J112/100, 0)</f>
        <v>0.21954377912453057</v>
      </c>
      <c r="K89" s="762">
        <f t="shared" si="63"/>
        <v>0.14358190388752612</v>
      </c>
      <c r="L89" s="763">
        <f t="shared" si="63"/>
        <v>7.5478431892317746E-2</v>
      </c>
      <c r="M89" s="760">
        <f t="shared" si="63"/>
        <v>6.6494823035326292E-2</v>
      </c>
      <c r="N89" s="764">
        <f t="shared" si="29"/>
        <v>1.933194086306226E-4</v>
      </c>
      <c r="O89" s="762">
        <f>IFERROR($D89*O112/100, 0)</f>
        <v>1.933194086306226E-4</v>
      </c>
      <c r="P89" s="765">
        <f t="shared" si="63"/>
        <v>0</v>
      </c>
      <c r="Q89" s="760">
        <f t="shared" si="63"/>
        <v>2.7994812346321275E-3</v>
      </c>
      <c r="R89" s="129" t="s">
        <v>1436</v>
      </c>
      <c r="S89" s="129"/>
      <c r="T89" s="129"/>
      <c r="U89" s="129"/>
    </row>
    <row r="90" spans="1:21" s="128" customFormat="1">
      <c r="A90" s="618" t="s">
        <v>616</v>
      </c>
      <c r="B90" s="694" t="s">
        <v>410</v>
      </c>
      <c r="C90" s="695" t="s">
        <v>604</v>
      </c>
      <c r="D90" s="730">
        <f>D91+D92+D93</f>
        <v>5.1458823529410436E-3</v>
      </c>
      <c r="E90" s="731">
        <f t="shared" ref="E90:Q90" si="64">E91+E92+E93</f>
        <v>1.3628782294766192E-3</v>
      </c>
      <c r="F90" s="730">
        <f t="shared" si="64"/>
        <v>8.5197310863742453E-5</v>
      </c>
      <c r="G90" s="776">
        <f t="shared" si="64"/>
        <v>1.5854057727488161E-4</v>
      </c>
      <c r="H90" s="776">
        <f t="shared" si="64"/>
        <v>1.1191403413379952E-3</v>
      </c>
      <c r="I90" s="731">
        <f t="shared" si="64"/>
        <v>3.2656330525649437E-3</v>
      </c>
      <c r="J90" s="730">
        <f t="shared" si="64"/>
        <v>1.6346162683640022E-3</v>
      </c>
      <c r="K90" s="776">
        <f t="shared" si="64"/>
        <v>1.0690410672219432E-3</v>
      </c>
      <c r="L90" s="776">
        <f t="shared" si="64"/>
        <v>5.6197571697899835E-4</v>
      </c>
      <c r="M90" s="777">
        <f t="shared" si="64"/>
        <v>4.9508813198426431E-4</v>
      </c>
      <c r="N90" s="736">
        <f t="shared" si="29"/>
        <v>1.4393623522298908E-6</v>
      </c>
      <c r="O90" s="776">
        <f>O91+O92+O93</f>
        <v>1.4393623522298908E-6</v>
      </c>
      <c r="P90" s="778">
        <f t="shared" si="64"/>
        <v>0</v>
      </c>
      <c r="Q90" s="777">
        <f t="shared" si="64"/>
        <v>2.0843576562985899E-5</v>
      </c>
      <c r="R90" s="129"/>
      <c r="S90" s="129"/>
      <c r="T90" s="129"/>
      <c r="U90" s="129"/>
    </row>
    <row r="91" spans="1:21" s="128" customFormat="1">
      <c r="A91" s="618" t="s">
        <v>616</v>
      </c>
      <c r="B91" s="696" t="s">
        <v>411</v>
      </c>
      <c r="C91" s="697" t="s">
        <v>1433</v>
      </c>
      <c r="D91" s="908">
        <v>5.1458823529410436E-3</v>
      </c>
      <c r="E91" s="760">
        <f>SUM(F91:H91)</f>
        <v>1.3628782294766192E-3</v>
      </c>
      <c r="F91" s="761">
        <f t="shared" ref="F91:H93" si="65">IFERROR($D91*F113/100, 0)</f>
        <v>8.5197310863742453E-5</v>
      </c>
      <c r="G91" s="762">
        <f t="shared" si="65"/>
        <v>1.5854057727488161E-4</v>
      </c>
      <c r="H91" s="763">
        <f t="shared" si="65"/>
        <v>1.1191403413379952E-3</v>
      </c>
      <c r="I91" s="760">
        <f t="shared" si="43"/>
        <v>3.2656330525649437E-3</v>
      </c>
      <c r="J91" s="761">
        <f t="shared" ref="J91:M93" si="66">IFERROR($D91*J113/100, 0)</f>
        <v>1.6346162683640022E-3</v>
      </c>
      <c r="K91" s="762">
        <f t="shared" si="66"/>
        <v>1.0690410672219432E-3</v>
      </c>
      <c r="L91" s="763">
        <f t="shared" si="66"/>
        <v>5.6197571697899835E-4</v>
      </c>
      <c r="M91" s="760">
        <f t="shared" si="66"/>
        <v>4.9508813198426431E-4</v>
      </c>
      <c r="N91" s="764">
        <f t="shared" si="29"/>
        <v>1.4393623522298908E-6</v>
      </c>
      <c r="O91" s="762">
        <f t="shared" ref="O91:Q93" si="67">IFERROR($D91*O113/100, 0)</f>
        <v>1.4393623522298908E-6</v>
      </c>
      <c r="P91" s="765">
        <f t="shared" si="67"/>
        <v>0</v>
      </c>
      <c r="Q91" s="760">
        <f t="shared" si="67"/>
        <v>2.0843576562985899E-5</v>
      </c>
      <c r="R91" s="129" t="s">
        <v>1437</v>
      </c>
      <c r="S91" s="129"/>
      <c r="T91" s="129"/>
      <c r="U91" s="129"/>
    </row>
    <row r="92" spans="1:21" s="128" customFormat="1">
      <c r="A92" s="618"/>
      <c r="B92" s="681" t="s">
        <v>412</v>
      </c>
      <c r="C92" s="697" t="s">
        <v>47</v>
      </c>
      <c r="D92" s="908">
        <v>0</v>
      </c>
      <c r="E92" s="760">
        <f>SUM(F92:H92)</f>
        <v>0</v>
      </c>
      <c r="F92" s="761">
        <f t="shared" si="65"/>
        <v>0</v>
      </c>
      <c r="G92" s="762">
        <f t="shared" si="65"/>
        <v>0</v>
      </c>
      <c r="H92" s="763">
        <f t="shared" si="65"/>
        <v>0</v>
      </c>
      <c r="I92" s="760">
        <f t="shared" si="43"/>
        <v>0</v>
      </c>
      <c r="J92" s="761">
        <f t="shared" si="66"/>
        <v>0</v>
      </c>
      <c r="K92" s="762">
        <f t="shared" si="66"/>
        <v>0</v>
      </c>
      <c r="L92" s="763">
        <f t="shared" si="66"/>
        <v>0</v>
      </c>
      <c r="M92" s="760">
        <f t="shared" si="66"/>
        <v>0</v>
      </c>
      <c r="N92" s="764">
        <f t="shared" si="29"/>
        <v>0</v>
      </c>
      <c r="O92" s="762">
        <f t="shared" si="67"/>
        <v>0</v>
      </c>
      <c r="P92" s="765">
        <f t="shared" si="67"/>
        <v>0</v>
      </c>
      <c r="Q92" s="760">
        <f t="shared" si="67"/>
        <v>0</v>
      </c>
      <c r="R92" s="129" t="s">
        <v>1419</v>
      </c>
      <c r="S92" s="129"/>
      <c r="T92" s="129"/>
      <c r="U92" s="129"/>
    </row>
    <row r="93" spans="1:21" s="128" customFormat="1" ht="15" thickBot="1">
      <c r="A93" s="618"/>
      <c r="B93" s="780" t="s">
        <v>413</v>
      </c>
      <c r="C93" s="699" t="s">
        <v>1434</v>
      </c>
      <c r="D93" s="907">
        <v>0</v>
      </c>
      <c r="E93" s="909">
        <f>SUM(F93:H93)</f>
        <v>0</v>
      </c>
      <c r="F93" s="910">
        <f t="shared" si="65"/>
        <v>0</v>
      </c>
      <c r="G93" s="911">
        <f t="shared" si="65"/>
        <v>0</v>
      </c>
      <c r="H93" s="912">
        <f t="shared" si="65"/>
        <v>0</v>
      </c>
      <c r="I93" s="913">
        <f t="shared" si="43"/>
        <v>0</v>
      </c>
      <c r="J93" s="910">
        <f t="shared" si="66"/>
        <v>0</v>
      </c>
      <c r="K93" s="911">
        <f t="shared" si="66"/>
        <v>0</v>
      </c>
      <c r="L93" s="912">
        <f t="shared" si="66"/>
        <v>0</v>
      </c>
      <c r="M93" s="913">
        <f t="shared" si="66"/>
        <v>0</v>
      </c>
      <c r="N93" s="914">
        <f t="shared" si="29"/>
        <v>0</v>
      </c>
      <c r="O93" s="911">
        <f t="shared" si="67"/>
        <v>0</v>
      </c>
      <c r="P93" s="915">
        <f t="shared" si="67"/>
        <v>0</v>
      </c>
      <c r="Q93" s="913">
        <f t="shared" si="67"/>
        <v>0</v>
      </c>
      <c r="R93" s="129" t="s">
        <v>1421</v>
      </c>
      <c r="S93" s="129"/>
      <c r="T93" s="129"/>
      <c r="U93" s="129"/>
    </row>
    <row r="94" spans="1:21" s="128" customFormat="1" ht="65.5" thickBot="1">
      <c r="A94" s="618"/>
      <c r="B94" s="622" t="s">
        <v>137</v>
      </c>
      <c r="C94" s="781" t="s">
        <v>625</v>
      </c>
      <c r="D94" s="624" t="s">
        <v>238</v>
      </c>
      <c r="E94" s="625" t="s">
        <v>239</v>
      </c>
      <c r="F94" s="626" t="s">
        <v>240</v>
      </c>
      <c r="G94" s="627" t="s">
        <v>241</v>
      </c>
      <c r="H94" s="628" t="s">
        <v>242</v>
      </c>
      <c r="I94" s="625" t="s">
        <v>243</v>
      </c>
      <c r="J94" s="626" t="s">
        <v>244</v>
      </c>
      <c r="K94" s="627" t="s">
        <v>245</v>
      </c>
      <c r="L94" s="782" t="s">
        <v>246</v>
      </c>
      <c r="M94" s="625" t="s">
        <v>247</v>
      </c>
      <c r="N94" s="629" t="s">
        <v>248</v>
      </c>
      <c r="O94" s="631" t="s">
        <v>590</v>
      </c>
      <c r="P94" s="783" t="s">
        <v>250</v>
      </c>
      <c r="Q94" s="633" t="s">
        <v>251</v>
      </c>
      <c r="R94" s="129"/>
      <c r="S94" s="129"/>
      <c r="T94" s="129"/>
      <c r="U94" s="129"/>
    </row>
    <row r="95" spans="1:21" s="128" customFormat="1" ht="26">
      <c r="A95" s="618"/>
      <c r="B95" s="784" t="s">
        <v>139</v>
      </c>
      <c r="C95" s="785" t="str">
        <f>'6'!C95</f>
        <v>C.1.1  Punktui Tiesiogiai paslaugoms priskirto naudojamo turto buhalterinė įsigijimo vertė</v>
      </c>
      <c r="D95" s="786">
        <f t="shared" ref="D95:D115" si="68">O95+E95+I95+M95+P95+Q95</f>
        <v>99.999999999999986</v>
      </c>
      <c r="E95" s="787">
        <f>SUM(F95:H95)</f>
        <v>26.484830705421956</v>
      </c>
      <c r="F95" s="788">
        <f>'6'!F95</f>
        <v>1.6556404717462951</v>
      </c>
      <c r="G95" s="789">
        <f>'6'!G95</f>
        <v>3.0809211404584556</v>
      </c>
      <c r="H95" s="790">
        <f>'6'!H95</f>
        <v>21.748269093217203</v>
      </c>
      <c r="I95" s="787">
        <f t="shared" ref="I95:I115" si="69">SUM(J95:L95)</f>
        <v>63.461090413357887</v>
      </c>
      <c r="J95" s="788">
        <f>'6'!J95</f>
        <v>31.765519618414213</v>
      </c>
      <c r="K95" s="789">
        <f>'6'!K95</f>
        <v>20.774689234994863</v>
      </c>
      <c r="L95" s="790">
        <f>'6'!L95</f>
        <v>10.92088155994881</v>
      </c>
      <c r="M95" s="791">
        <f>'6'!M95</f>
        <v>9.6210542338051095</v>
      </c>
      <c r="N95" s="792">
        <f t="shared" ref="N95:N142" si="70">O95+P95</f>
        <v>2.7971147677079079E-2</v>
      </c>
      <c r="O95" s="789">
        <f>'6'!O95</f>
        <v>2.7971147677079079E-2</v>
      </c>
      <c r="P95" s="793">
        <f>'6'!P95</f>
        <v>0</v>
      </c>
      <c r="Q95" s="791">
        <f>'6'!Q95</f>
        <v>0.40505349973796229</v>
      </c>
      <c r="R95" s="129" t="s">
        <v>626</v>
      </c>
      <c r="S95" s="129"/>
      <c r="T95" s="129"/>
      <c r="U95" s="129"/>
    </row>
    <row r="96" spans="1:21" s="128" customFormat="1" ht="26">
      <c r="A96" s="618"/>
      <c r="B96" s="795" t="s">
        <v>141</v>
      </c>
      <c r="C96" s="796" t="str">
        <f>'6'!C96</f>
        <v>C.1.2.  Punktui Tiesiogiai paslaugoms priskirto naudojamo turto buhalterinė įsigijimo vertė</v>
      </c>
      <c r="D96" s="797">
        <f t="shared" si="68"/>
        <v>99.999999999999986</v>
      </c>
      <c r="E96" s="798">
        <f t="shared" ref="E96:E115" si="71">SUM(F96:H96)</f>
        <v>26.484830705421956</v>
      </c>
      <c r="F96" s="799">
        <f>'6'!F96</f>
        <v>1.6556404717462951</v>
      </c>
      <c r="G96" s="800">
        <f>'6'!G96</f>
        <v>3.0809211404584556</v>
      </c>
      <c r="H96" s="801">
        <f>'6'!H96</f>
        <v>21.748269093217203</v>
      </c>
      <c r="I96" s="798">
        <f t="shared" si="69"/>
        <v>63.461090413357887</v>
      </c>
      <c r="J96" s="799">
        <f>'6'!J96</f>
        <v>31.765519618414213</v>
      </c>
      <c r="K96" s="800">
        <f>'6'!K96</f>
        <v>20.774689234994863</v>
      </c>
      <c r="L96" s="801">
        <f>'6'!L96</f>
        <v>10.92088155994881</v>
      </c>
      <c r="M96" s="802">
        <f>'6'!M96</f>
        <v>9.6210542338051095</v>
      </c>
      <c r="N96" s="792">
        <f t="shared" si="70"/>
        <v>2.7971147677079079E-2</v>
      </c>
      <c r="O96" s="800">
        <f>'6'!O96</f>
        <v>2.7971147677079079E-2</v>
      </c>
      <c r="P96" s="803">
        <f>'6'!P96</f>
        <v>0</v>
      </c>
      <c r="Q96" s="802">
        <f>'6'!Q96</f>
        <v>0.40505349973796229</v>
      </c>
      <c r="R96" s="129" t="s">
        <v>627</v>
      </c>
      <c r="S96" s="129"/>
      <c r="T96" s="129"/>
      <c r="U96" s="129"/>
    </row>
    <row r="97" spans="1:21" s="128" customFormat="1" ht="26">
      <c r="A97" s="618"/>
      <c r="B97" s="795" t="s">
        <v>143</v>
      </c>
      <c r="C97" s="796" t="str">
        <f>'6'!C97</f>
        <v>C.1.3.  Punktui Tiesiogiai paslaugoms priskirto naudojamo turto buhalterinė įsigijimo vertė</v>
      </c>
      <c r="D97" s="797">
        <f t="shared" si="68"/>
        <v>99.999999999999986</v>
      </c>
      <c r="E97" s="798">
        <f t="shared" si="71"/>
        <v>26.484830705421956</v>
      </c>
      <c r="F97" s="799">
        <f>'6'!F97</f>
        <v>1.6556404717462951</v>
      </c>
      <c r="G97" s="800">
        <f>'6'!G97</f>
        <v>3.0809211404584556</v>
      </c>
      <c r="H97" s="801">
        <f>'6'!H97</f>
        <v>21.748269093217203</v>
      </c>
      <c r="I97" s="798">
        <f t="shared" si="69"/>
        <v>63.461090413357887</v>
      </c>
      <c r="J97" s="799">
        <f>'6'!J97</f>
        <v>31.765519618414213</v>
      </c>
      <c r="K97" s="800">
        <f>'6'!K97</f>
        <v>20.774689234994863</v>
      </c>
      <c r="L97" s="801">
        <f>'6'!L97</f>
        <v>10.92088155994881</v>
      </c>
      <c r="M97" s="802">
        <f>'6'!M97</f>
        <v>9.6210542338051095</v>
      </c>
      <c r="N97" s="792">
        <f t="shared" si="70"/>
        <v>2.7971147677079079E-2</v>
      </c>
      <c r="O97" s="800">
        <f>'6'!O97</f>
        <v>2.7971147677079079E-2</v>
      </c>
      <c r="P97" s="803">
        <f>'6'!P97</f>
        <v>0</v>
      </c>
      <c r="Q97" s="802">
        <f>'6'!Q97</f>
        <v>0.40505349973796229</v>
      </c>
      <c r="R97" s="129" t="s">
        <v>628</v>
      </c>
      <c r="S97" s="129"/>
      <c r="T97" s="129"/>
      <c r="U97" s="129"/>
    </row>
    <row r="98" spans="1:21" s="128" customFormat="1" ht="26">
      <c r="A98" s="618"/>
      <c r="B98" s="805" t="s">
        <v>451</v>
      </c>
      <c r="C98" s="796" t="str">
        <f>'6'!C98</f>
        <v>C.2.1  Punktui Tiesiogiai paslaugoms priskirto naudojamo turto buhalterinė įsigijimo vertė</v>
      </c>
      <c r="D98" s="797">
        <f t="shared" si="68"/>
        <v>99.999999999999986</v>
      </c>
      <c r="E98" s="798">
        <f t="shared" si="71"/>
        <v>26.484830705421956</v>
      </c>
      <c r="F98" s="799">
        <f>'6'!F98</f>
        <v>1.6556404717462951</v>
      </c>
      <c r="G98" s="800">
        <f>'6'!G98</f>
        <v>3.0809211404584556</v>
      </c>
      <c r="H98" s="801">
        <f>'6'!H98</f>
        <v>21.748269093217203</v>
      </c>
      <c r="I98" s="798">
        <f t="shared" si="69"/>
        <v>63.461090413357887</v>
      </c>
      <c r="J98" s="799">
        <f>'6'!J98</f>
        <v>31.765519618414213</v>
      </c>
      <c r="K98" s="800">
        <f>'6'!K98</f>
        <v>20.774689234994863</v>
      </c>
      <c r="L98" s="801">
        <f>'6'!L98</f>
        <v>10.92088155994881</v>
      </c>
      <c r="M98" s="802">
        <f>'6'!M98</f>
        <v>9.6210542338051095</v>
      </c>
      <c r="N98" s="792">
        <f t="shared" si="70"/>
        <v>2.7971147677079079E-2</v>
      </c>
      <c r="O98" s="800">
        <f>'6'!O98</f>
        <v>2.7971147677079079E-2</v>
      </c>
      <c r="P98" s="803">
        <f>'6'!P98</f>
        <v>0</v>
      </c>
      <c r="Q98" s="802">
        <f>'6'!Q98</f>
        <v>0.40505349973796229</v>
      </c>
      <c r="R98" s="129" t="s">
        <v>629</v>
      </c>
      <c r="S98" s="129"/>
      <c r="T98" s="129"/>
      <c r="U98" s="129"/>
    </row>
    <row r="99" spans="1:21" s="128" customFormat="1" ht="26">
      <c r="A99" s="618"/>
      <c r="B99" s="795" t="s">
        <v>455</v>
      </c>
      <c r="C99" s="796" t="str">
        <f>'6'!C99</f>
        <v>C.2.2. Punktui Tiesiogiai paslaugoms priskirto naudojamo turto buhalterinė įsigijimo vertė</v>
      </c>
      <c r="D99" s="797">
        <f t="shared" si="68"/>
        <v>99.999999999999986</v>
      </c>
      <c r="E99" s="798">
        <f t="shared" si="71"/>
        <v>26.484830705421956</v>
      </c>
      <c r="F99" s="799">
        <f>'6'!F99</f>
        <v>1.6556404717462951</v>
      </c>
      <c r="G99" s="800">
        <f>'6'!G99</f>
        <v>3.0809211404584556</v>
      </c>
      <c r="H99" s="801">
        <f>'6'!H99</f>
        <v>21.748269093217203</v>
      </c>
      <c r="I99" s="798">
        <f t="shared" si="69"/>
        <v>63.461090413357887</v>
      </c>
      <c r="J99" s="799">
        <f>'6'!J99</f>
        <v>31.765519618414213</v>
      </c>
      <c r="K99" s="800">
        <f>'6'!K99</f>
        <v>20.774689234994863</v>
      </c>
      <c r="L99" s="801">
        <f>'6'!L99</f>
        <v>10.92088155994881</v>
      </c>
      <c r="M99" s="802">
        <f>'6'!M99</f>
        <v>9.6210542338051095</v>
      </c>
      <c r="N99" s="792">
        <f t="shared" si="70"/>
        <v>2.7971147677079079E-2</v>
      </c>
      <c r="O99" s="800">
        <f>'6'!O99</f>
        <v>2.7971147677079079E-2</v>
      </c>
      <c r="P99" s="803">
        <f>'6'!P99</f>
        <v>0</v>
      </c>
      <c r="Q99" s="802">
        <f>'6'!Q99</f>
        <v>0.40505349973796229</v>
      </c>
      <c r="R99" s="129" t="s">
        <v>630</v>
      </c>
      <c r="S99" s="129"/>
      <c r="T99" s="129"/>
      <c r="U99" s="129"/>
    </row>
    <row r="100" spans="1:21" s="128" customFormat="1" ht="26">
      <c r="A100" s="618"/>
      <c r="B100" s="795" t="s">
        <v>457</v>
      </c>
      <c r="C100" s="796" t="str">
        <f>'6'!C100</f>
        <v>C.2.3  Punktui Tiesiogiai paslaugoms priskirto naudojamo turto buhalterinė įsigijimo vertė</v>
      </c>
      <c r="D100" s="797">
        <f t="shared" si="68"/>
        <v>99.999999999999986</v>
      </c>
      <c r="E100" s="798">
        <f t="shared" si="71"/>
        <v>26.484830705421956</v>
      </c>
      <c r="F100" s="799">
        <f>'6'!F100</f>
        <v>1.6556404717462951</v>
      </c>
      <c r="G100" s="800">
        <f>'6'!G100</f>
        <v>3.0809211404584556</v>
      </c>
      <c r="H100" s="801">
        <f>'6'!H100</f>
        <v>21.748269093217203</v>
      </c>
      <c r="I100" s="798">
        <f t="shared" si="69"/>
        <v>63.461090413357887</v>
      </c>
      <c r="J100" s="799">
        <f>'6'!J100</f>
        <v>31.765519618414213</v>
      </c>
      <c r="K100" s="800">
        <f>'6'!K100</f>
        <v>20.774689234994863</v>
      </c>
      <c r="L100" s="801">
        <f>'6'!L100</f>
        <v>10.92088155994881</v>
      </c>
      <c r="M100" s="802">
        <f>'6'!M100</f>
        <v>9.6210542338051095</v>
      </c>
      <c r="N100" s="792">
        <f t="shared" si="70"/>
        <v>2.7971147677079079E-2</v>
      </c>
      <c r="O100" s="800">
        <f>'6'!O100</f>
        <v>2.7971147677079079E-2</v>
      </c>
      <c r="P100" s="803">
        <f>'6'!P100</f>
        <v>0</v>
      </c>
      <c r="Q100" s="802">
        <f>'6'!Q100</f>
        <v>0.40505349973796229</v>
      </c>
      <c r="R100" s="129" t="s">
        <v>631</v>
      </c>
      <c r="S100" s="129"/>
      <c r="T100" s="129"/>
      <c r="U100" s="129"/>
    </row>
    <row r="101" spans="1:21" s="128" customFormat="1" ht="26">
      <c r="A101" s="618"/>
      <c r="B101" s="795" t="s">
        <v>461</v>
      </c>
      <c r="C101" s="796" t="str">
        <f>'6'!C101</f>
        <v>C.2.4  Punktui Tiesiogiai paslaugoms priskirto naudojamo turto buhalterinė įsigijimo vertė</v>
      </c>
      <c r="D101" s="797">
        <f t="shared" si="68"/>
        <v>99.999999999999986</v>
      </c>
      <c r="E101" s="798">
        <f t="shared" ref="E101:E112" si="72">SUM(F101:H101)</f>
        <v>26.484830705421956</v>
      </c>
      <c r="F101" s="799">
        <f>'6'!F101</f>
        <v>1.6556404717462951</v>
      </c>
      <c r="G101" s="800">
        <f>'6'!G101</f>
        <v>3.0809211404584556</v>
      </c>
      <c r="H101" s="801">
        <f>'6'!H101</f>
        <v>21.748269093217203</v>
      </c>
      <c r="I101" s="798">
        <f t="shared" si="69"/>
        <v>63.461090413357887</v>
      </c>
      <c r="J101" s="799">
        <f>'6'!J101</f>
        <v>31.765519618414213</v>
      </c>
      <c r="K101" s="800">
        <f>'6'!K101</f>
        <v>20.774689234994863</v>
      </c>
      <c r="L101" s="801">
        <f>'6'!L101</f>
        <v>10.92088155994881</v>
      </c>
      <c r="M101" s="802">
        <f>'6'!M101</f>
        <v>9.6210542338051095</v>
      </c>
      <c r="N101" s="792">
        <f t="shared" si="70"/>
        <v>2.7971147677079079E-2</v>
      </c>
      <c r="O101" s="800">
        <f>'6'!O101</f>
        <v>2.7971147677079079E-2</v>
      </c>
      <c r="P101" s="803">
        <f>'6'!P101</f>
        <v>0</v>
      </c>
      <c r="Q101" s="802">
        <f>'6'!Q101</f>
        <v>0.40505349973796229</v>
      </c>
      <c r="R101" s="129" t="s">
        <v>632</v>
      </c>
      <c r="S101" s="129"/>
      <c r="T101" s="129"/>
      <c r="U101" s="129"/>
    </row>
    <row r="102" spans="1:21" s="128" customFormat="1" ht="26">
      <c r="A102" s="618"/>
      <c r="B102" s="795" t="s">
        <v>465</v>
      </c>
      <c r="C102" s="796" t="str">
        <f>'6'!C102</f>
        <v>C.2.5  Punktui Tiesiogiai paslaugoms priskirto naudojamo turto buhalterinė įsigijimo vertė</v>
      </c>
      <c r="D102" s="797">
        <f t="shared" si="68"/>
        <v>99.999999999999986</v>
      </c>
      <c r="E102" s="798">
        <f t="shared" si="72"/>
        <v>26.484830705421956</v>
      </c>
      <c r="F102" s="799">
        <f>'6'!F102</f>
        <v>1.6556404717462951</v>
      </c>
      <c r="G102" s="800">
        <f>'6'!G102</f>
        <v>3.0809211404584556</v>
      </c>
      <c r="H102" s="801">
        <f>'6'!H102</f>
        <v>21.748269093217203</v>
      </c>
      <c r="I102" s="798">
        <f t="shared" si="69"/>
        <v>63.461090413357887</v>
      </c>
      <c r="J102" s="799">
        <f>'6'!J102</f>
        <v>31.765519618414213</v>
      </c>
      <c r="K102" s="800">
        <f>'6'!K102</f>
        <v>20.774689234994863</v>
      </c>
      <c r="L102" s="801">
        <f>'6'!L102</f>
        <v>10.92088155994881</v>
      </c>
      <c r="M102" s="802">
        <f>'6'!M102</f>
        <v>9.6210542338051095</v>
      </c>
      <c r="N102" s="792">
        <f t="shared" si="70"/>
        <v>2.7971147677079079E-2</v>
      </c>
      <c r="O102" s="800">
        <f>'6'!O102</f>
        <v>2.7971147677079079E-2</v>
      </c>
      <c r="P102" s="803">
        <f>'6'!P102</f>
        <v>0</v>
      </c>
      <c r="Q102" s="802">
        <f>'6'!Q102</f>
        <v>0.40505349973796229</v>
      </c>
      <c r="R102" s="129" t="s">
        <v>633</v>
      </c>
      <c r="S102" s="129"/>
      <c r="T102" s="129"/>
      <c r="U102" s="129"/>
    </row>
    <row r="103" spans="1:21" s="128" customFormat="1" ht="26">
      <c r="A103" s="618"/>
      <c r="B103" s="795" t="s">
        <v>469</v>
      </c>
      <c r="C103" s="796" t="str">
        <f>'6'!C103</f>
        <v>C.2.6  Punktui Tiesiogiai paslaugoms priskirto naudojamo turto buhalterinė įsigijimo vertė</v>
      </c>
      <c r="D103" s="797">
        <f t="shared" si="68"/>
        <v>99.999999999999986</v>
      </c>
      <c r="E103" s="798">
        <f t="shared" si="72"/>
        <v>26.484830705421956</v>
      </c>
      <c r="F103" s="799">
        <f>'6'!F103</f>
        <v>1.6556404717462951</v>
      </c>
      <c r="G103" s="800">
        <f>'6'!G103</f>
        <v>3.0809211404584556</v>
      </c>
      <c r="H103" s="801">
        <f>'6'!H103</f>
        <v>21.748269093217203</v>
      </c>
      <c r="I103" s="798">
        <f t="shared" si="69"/>
        <v>63.461090413357887</v>
      </c>
      <c r="J103" s="799">
        <f>'6'!J103</f>
        <v>31.765519618414213</v>
      </c>
      <c r="K103" s="800">
        <f>'6'!K103</f>
        <v>20.774689234994863</v>
      </c>
      <c r="L103" s="801">
        <f>'6'!L103</f>
        <v>10.92088155994881</v>
      </c>
      <c r="M103" s="802">
        <f>'6'!M103</f>
        <v>9.6210542338051095</v>
      </c>
      <c r="N103" s="792">
        <f t="shared" si="70"/>
        <v>2.7971147677079079E-2</v>
      </c>
      <c r="O103" s="800">
        <f>'6'!O103</f>
        <v>2.7971147677079079E-2</v>
      </c>
      <c r="P103" s="803">
        <f>'6'!P103</f>
        <v>0</v>
      </c>
      <c r="Q103" s="802">
        <f>'6'!Q103</f>
        <v>0.40505349973796229</v>
      </c>
      <c r="R103" s="129" t="s">
        <v>634</v>
      </c>
      <c r="S103" s="129"/>
      <c r="T103" s="129"/>
      <c r="U103" s="129"/>
    </row>
    <row r="104" spans="1:21" s="128" customFormat="1" ht="26">
      <c r="A104" s="618"/>
      <c r="B104" s="805" t="s">
        <v>485</v>
      </c>
      <c r="C104" s="796" t="str">
        <f>'6'!C104</f>
        <v>C.3.1.  Punktui Tiesiogiai paslaugoms priskirto naudojamo turto buhalterinė įsigijimo vertė</v>
      </c>
      <c r="D104" s="797">
        <f t="shared" si="68"/>
        <v>99.999999999999986</v>
      </c>
      <c r="E104" s="798">
        <f t="shared" si="72"/>
        <v>26.484830705421956</v>
      </c>
      <c r="F104" s="799">
        <f>'6'!F104</f>
        <v>1.6556404717462951</v>
      </c>
      <c r="G104" s="800">
        <f>'6'!G104</f>
        <v>3.0809211404584556</v>
      </c>
      <c r="H104" s="801">
        <f>'6'!H104</f>
        <v>21.748269093217203</v>
      </c>
      <c r="I104" s="798">
        <f t="shared" si="69"/>
        <v>63.461090413357887</v>
      </c>
      <c r="J104" s="799">
        <f>'6'!J104</f>
        <v>31.765519618414213</v>
      </c>
      <c r="K104" s="800">
        <f>'6'!K104</f>
        <v>20.774689234994863</v>
      </c>
      <c r="L104" s="801">
        <f>'6'!L104</f>
        <v>10.92088155994881</v>
      </c>
      <c r="M104" s="802">
        <f>'6'!M104</f>
        <v>9.6210542338051095</v>
      </c>
      <c r="N104" s="792">
        <f t="shared" si="70"/>
        <v>2.7971147677079079E-2</v>
      </c>
      <c r="O104" s="800">
        <f>'6'!O104</f>
        <v>2.7971147677079079E-2</v>
      </c>
      <c r="P104" s="803">
        <f>'6'!P104</f>
        <v>0</v>
      </c>
      <c r="Q104" s="802">
        <f>'6'!Q104</f>
        <v>0.40505349973796229</v>
      </c>
      <c r="R104" s="129" t="s">
        <v>635</v>
      </c>
      <c r="S104" s="129"/>
      <c r="T104" s="129"/>
      <c r="U104" s="129"/>
    </row>
    <row r="105" spans="1:21" s="128" customFormat="1" ht="26">
      <c r="A105" s="618"/>
      <c r="B105" s="805" t="s">
        <v>487</v>
      </c>
      <c r="C105" s="796" t="str">
        <f>'6'!C105</f>
        <v>C.3.2.  Punktui Tiesiogiai paslaugoms priskirto naudojamo turto buhalterinė įsigijimo vertė</v>
      </c>
      <c r="D105" s="797">
        <f t="shared" si="68"/>
        <v>99.999999999999986</v>
      </c>
      <c r="E105" s="798">
        <f t="shared" si="72"/>
        <v>26.484830705421956</v>
      </c>
      <c r="F105" s="799">
        <f>'6'!F105</f>
        <v>1.6556404717462951</v>
      </c>
      <c r="G105" s="800">
        <f>'6'!G105</f>
        <v>3.0809211404584556</v>
      </c>
      <c r="H105" s="801">
        <f>'6'!H105</f>
        <v>21.748269093217203</v>
      </c>
      <c r="I105" s="798">
        <f t="shared" si="69"/>
        <v>63.461090413357887</v>
      </c>
      <c r="J105" s="799">
        <f>'6'!J105</f>
        <v>31.765519618414213</v>
      </c>
      <c r="K105" s="800">
        <f>'6'!K105</f>
        <v>20.774689234994863</v>
      </c>
      <c r="L105" s="801">
        <f>'6'!L105</f>
        <v>10.92088155994881</v>
      </c>
      <c r="M105" s="802">
        <f>'6'!M105</f>
        <v>9.6210542338051095</v>
      </c>
      <c r="N105" s="792">
        <f t="shared" si="70"/>
        <v>2.7971147677079079E-2</v>
      </c>
      <c r="O105" s="800">
        <f>'6'!O105</f>
        <v>2.7971147677079079E-2</v>
      </c>
      <c r="P105" s="803">
        <f>'6'!P105</f>
        <v>0</v>
      </c>
      <c r="Q105" s="802">
        <f>'6'!Q105</f>
        <v>0.40505349973796229</v>
      </c>
      <c r="R105" s="129" t="s">
        <v>636</v>
      </c>
      <c r="S105" s="129"/>
      <c r="T105" s="129"/>
      <c r="U105" s="129"/>
    </row>
    <row r="106" spans="1:21" s="128" customFormat="1" ht="26">
      <c r="A106" s="618"/>
      <c r="B106" s="805" t="s">
        <v>637</v>
      </c>
      <c r="C106" s="796" t="str">
        <f>'6'!C106</f>
        <v>C.4.1  Punktui Tiesiogiai paslaugoms priskirto naudojamo turto buhalterinė įsigijimo vertė</v>
      </c>
      <c r="D106" s="797">
        <f t="shared" si="68"/>
        <v>99.999999999999986</v>
      </c>
      <c r="E106" s="798">
        <f t="shared" si="72"/>
        <v>26.484830705421956</v>
      </c>
      <c r="F106" s="799">
        <f>'6'!F106</f>
        <v>1.6556404717462951</v>
      </c>
      <c r="G106" s="800">
        <f>'6'!G106</f>
        <v>3.0809211404584556</v>
      </c>
      <c r="H106" s="801">
        <f>'6'!H106</f>
        <v>21.748269093217203</v>
      </c>
      <c r="I106" s="798">
        <f t="shared" si="69"/>
        <v>63.461090413357887</v>
      </c>
      <c r="J106" s="799">
        <f>'6'!J106</f>
        <v>31.765519618414213</v>
      </c>
      <c r="K106" s="800">
        <f>'6'!K106</f>
        <v>20.774689234994863</v>
      </c>
      <c r="L106" s="801">
        <f>'6'!L106</f>
        <v>10.92088155994881</v>
      </c>
      <c r="M106" s="802">
        <f>'6'!M106</f>
        <v>9.6210542338051095</v>
      </c>
      <c r="N106" s="792">
        <f t="shared" si="70"/>
        <v>2.7971147677079079E-2</v>
      </c>
      <c r="O106" s="800">
        <f>'6'!O106</f>
        <v>2.7971147677079079E-2</v>
      </c>
      <c r="P106" s="803">
        <f>'6'!P106</f>
        <v>0</v>
      </c>
      <c r="Q106" s="802">
        <f>'6'!Q106</f>
        <v>0.40505349973796229</v>
      </c>
      <c r="R106" s="129" t="s">
        <v>638</v>
      </c>
      <c r="S106" s="129"/>
      <c r="T106" s="129"/>
      <c r="U106" s="129"/>
    </row>
    <row r="107" spans="1:21" s="128" customFormat="1" ht="26">
      <c r="A107" s="618"/>
      <c r="B107" s="805" t="s">
        <v>639</v>
      </c>
      <c r="C107" s="796" t="str">
        <f>'6'!C107</f>
        <v>C.4.2  Punktui Tiesiogiai paslaugoms priskirto naudojamo turto buhalterinė įsigijimo vertė</v>
      </c>
      <c r="D107" s="797">
        <f t="shared" si="68"/>
        <v>99.999999999999986</v>
      </c>
      <c r="E107" s="798">
        <f t="shared" si="72"/>
        <v>26.484830705421956</v>
      </c>
      <c r="F107" s="799">
        <f>'6'!F107</f>
        <v>1.6556404717462951</v>
      </c>
      <c r="G107" s="800">
        <f>'6'!G107</f>
        <v>3.0809211404584556</v>
      </c>
      <c r="H107" s="801">
        <f>'6'!H107</f>
        <v>21.748269093217203</v>
      </c>
      <c r="I107" s="798">
        <f t="shared" si="69"/>
        <v>63.461090413357887</v>
      </c>
      <c r="J107" s="799">
        <f>'6'!J107</f>
        <v>31.765519618414213</v>
      </c>
      <c r="K107" s="800">
        <f>'6'!K107</f>
        <v>20.774689234994863</v>
      </c>
      <c r="L107" s="801">
        <f>'6'!L107</f>
        <v>10.92088155994881</v>
      </c>
      <c r="M107" s="802">
        <f>'6'!M107</f>
        <v>9.6210542338051095</v>
      </c>
      <c r="N107" s="792">
        <f t="shared" si="70"/>
        <v>2.7971147677079079E-2</v>
      </c>
      <c r="O107" s="800">
        <f>'6'!O107</f>
        <v>2.7971147677079079E-2</v>
      </c>
      <c r="P107" s="803">
        <f>'6'!P107</f>
        <v>0</v>
      </c>
      <c r="Q107" s="802">
        <f>'6'!Q107</f>
        <v>0.40505349973796229</v>
      </c>
      <c r="R107" s="129" t="s">
        <v>640</v>
      </c>
      <c r="S107" s="129"/>
      <c r="T107" s="129"/>
      <c r="U107" s="129"/>
    </row>
    <row r="108" spans="1:21" s="128" customFormat="1" ht="26">
      <c r="A108" s="618"/>
      <c r="B108" s="805" t="s">
        <v>641</v>
      </c>
      <c r="C108" s="796" t="str">
        <f>'6'!C108</f>
        <v>C.4.3  Punktui Tiesiogiai paslaugoms priskirto naudojamo turto buhalterinė įsigijimo vertė</v>
      </c>
      <c r="D108" s="797">
        <f t="shared" si="68"/>
        <v>99.999999999999986</v>
      </c>
      <c r="E108" s="798">
        <f t="shared" si="72"/>
        <v>26.484830705421956</v>
      </c>
      <c r="F108" s="799">
        <f>'6'!F108</f>
        <v>1.6556404717462951</v>
      </c>
      <c r="G108" s="800">
        <f>'6'!G108</f>
        <v>3.0809211404584556</v>
      </c>
      <c r="H108" s="801">
        <f>'6'!H108</f>
        <v>21.748269093217203</v>
      </c>
      <c r="I108" s="798">
        <f t="shared" si="69"/>
        <v>63.461090413357887</v>
      </c>
      <c r="J108" s="799">
        <f>'6'!J108</f>
        <v>31.765519618414213</v>
      </c>
      <c r="K108" s="800">
        <f>'6'!K108</f>
        <v>20.774689234994863</v>
      </c>
      <c r="L108" s="801">
        <f>'6'!L108</f>
        <v>10.92088155994881</v>
      </c>
      <c r="M108" s="802">
        <f>'6'!M108</f>
        <v>9.6210542338051095</v>
      </c>
      <c r="N108" s="792">
        <f t="shared" si="70"/>
        <v>2.7971147677079079E-2</v>
      </c>
      <c r="O108" s="800">
        <f>'6'!O108</f>
        <v>2.7971147677079079E-2</v>
      </c>
      <c r="P108" s="803">
        <f>'6'!P108</f>
        <v>0</v>
      </c>
      <c r="Q108" s="802">
        <f>'6'!Q108</f>
        <v>0.40505349973796229</v>
      </c>
      <c r="R108" s="129" t="s">
        <v>642</v>
      </c>
      <c r="S108" s="129"/>
      <c r="T108" s="129"/>
      <c r="U108" s="129"/>
    </row>
    <row r="109" spans="1:21" s="128" customFormat="1" ht="26">
      <c r="A109" s="618"/>
      <c r="B109" s="805" t="s">
        <v>643</v>
      </c>
      <c r="C109" s="796" t="str">
        <f>'6'!C109</f>
        <v>C.4.4  Punktui Tiesiogiai paslaugoms priskirto naudojamo turto buhalterinė įsigijimo vertė</v>
      </c>
      <c r="D109" s="797">
        <f t="shared" si="68"/>
        <v>99.999999999999986</v>
      </c>
      <c r="E109" s="798">
        <f t="shared" si="72"/>
        <v>26.484830705421956</v>
      </c>
      <c r="F109" s="799">
        <f>'6'!F109</f>
        <v>1.6556404717462951</v>
      </c>
      <c r="G109" s="800">
        <f>'6'!G109</f>
        <v>3.0809211404584556</v>
      </c>
      <c r="H109" s="801">
        <f>'6'!H109</f>
        <v>21.748269093217203</v>
      </c>
      <c r="I109" s="798">
        <f t="shared" si="69"/>
        <v>63.461090413357887</v>
      </c>
      <c r="J109" s="799">
        <f>'6'!J109</f>
        <v>31.765519618414213</v>
      </c>
      <c r="K109" s="800">
        <f>'6'!K109</f>
        <v>20.774689234994863</v>
      </c>
      <c r="L109" s="801">
        <f>'6'!L109</f>
        <v>10.92088155994881</v>
      </c>
      <c r="M109" s="802">
        <f>'6'!M109</f>
        <v>9.6210542338051095</v>
      </c>
      <c r="N109" s="792">
        <f t="shared" si="70"/>
        <v>2.7971147677079079E-2</v>
      </c>
      <c r="O109" s="800">
        <f>'6'!O109</f>
        <v>2.7971147677079079E-2</v>
      </c>
      <c r="P109" s="803">
        <f>'6'!P109</f>
        <v>0</v>
      </c>
      <c r="Q109" s="802">
        <f>'6'!Q109</f>
        <v>0.40505349973796229</v>
      </c>
      <c r="R109" s="129" t="s">
        <v>644</v>
      </c>
      <c r="S109" s="129"/>
      <c r="T109" s="129"/>
      <c r="U109" s="129"/>
    </row>
    <row r="110" spans="1:21" s="128" customFormat="1" ht="26">
      <c r="A110" s="618"/>
      <c r="B110" s="805" t="s">
        <v>645</v>
      </c>
      <c r="C110" s="796" t="str">
        <f>'6'!C110</f>
        <v>C.4.5  Punktui Tiesiogiai paslaugoms priskirto naudojamo turto buhalterinė įsigijimo vertė</v>
      </c>
      <c r="D110" s="797">
        <f t="shared" si="68"/>
        <v>99.999999999999986</v>
      </c>
      <c r="E110" s="798">
        <f t="shared" si="72"/>
        <v>26.484830705421956</v>
      </c>
      <c r="F110" s="799">
        <f>'6'!F110</f>
        <v>1.6556404717462951</v>
      </c>
      <c r="G110" s="800">
        <f>'6'!G110</f>
        <v>3.0809211404584556</v>
      </c>
      <c r="H110" s="801">
        <f>'6'!H110</f>
        <v>21.748269093217203</v>
      </c>
      <c r="I110" s="798">
        <f t="shared" si="69"/>
        <v>63.461090413357887</v>
      </c>
      <c r="J110" s="799">
        <f>'6'!J110</f>
        <v>31.765519618414213</v>
      </c>
      <c r="K110" s="800">
        <f>'6'!K110</f>
        <v>20.774689234994863</v>
      </c>
      <c r="L110" s="801">
        <f>'6'!L110</f>
        <v>10.92088155994881</v>
      </c>
      <c r="M110" s="802">
        <f>'6'!M110</f>
        <v>9.6210542338051095</v>
      </c>
      <c r="N110" s="792">
        <f t="shared" si="70"/>
        <v>2.7971147677079079E-2</v>
      </c>
      <c r="O110" s="800">
        <f>'6'!O110</f>
        <v>2.7971147677079079E-2</v>
      </c>
      <c r="P110" s="803">
        <f>'6'!P110</f>
        <v>0</v>
      </c>
      <c r="Q110" s="802">
        <f>'6'!Q110</f>
        <v>0.40505349973796229</v>
      </c>
      <c r="R110" s="129" t="s">
        <v>646</v>
      </c>
      <c r="S110" s="129"/>
      <c r="T110" s="129"/>
      <c r="U110" s="129"/>
    </row>
    <row r="111" spans="1:21" s="128" customFormat="1" ht="26">
      <c r="A111" s="618"/>
      <c r="B111" s="805" t="s">
        <v>647</v>
      </c>
      <c r="C111" s="796" t="str">
        <f>'6'!C111</f>
        <v>C.5.1  Punktui Tiesiogiai paslaugoms priskirto naudojamo turto buhalterinė įsigijimo vertė</v>
      </c>
      <c r="D111" s="797">
        <f t="shared" si="68"/>
        <v>99.999999999999986</v>
      </c>
      <c r="E111" s="798">
        <f t="shared" si="72"/>
        <v>26.484830705421956</v>
      </c>
      <c r="F111" s="799">
        <f>'6'!F111</f>
        <v>1.6556404717462951</v>
      </c>
      <c r="G111" s="800">
        <f>'6'!G111</f>
        <v>3.0809211404584556</v>
      </c>
      <c r="H111" s="801">
        <f>'6'!H111</f>
        <v>21.748269093217203</v>
      </c>
      <c r="I111" s="798">
        <f t="shared" si="69"/>
        <v>63.461090413357887</v>
      </c>
      <c r="J111" s="799">
        <f>'6'!J111</f>
        <v>31.765519618414213</v>
      </c>
      <c r="K111" s="800">
        <f>'6'!K111</f>
        <v>20.774689234994863</v>
      </c>
      <c r="L111" s="801">
        <f>'6'!L111</f>
        <v>10.92088155994881</v>
      </c>
      <c r="M111" s="802">
        <f>'6'!M111</f>
        <v>9.6210542338051095</v>
      </c>
      <c r="N111" s="792">
        <f t="shared" si="70"/>
        <v>2.7971147677079079E-2</v>
      </c>
      <c r="O111" s="800">
        <f>'6'!O111</f>
        <v>2.7971147677079079E-2</v>
      </c>
      <c r="P111" s="803">
        <f>'6'!P111</f>
        <v>0</v>
      </c>
      <c r="Q111" s="802">
        <f>'6'!Q111</f>
        <v>0.40505349973796229</v>
      </c>
      <c r="R111" s="129" t="s">
        <v>648</v>
      </c>
      <c r="S111" s="129"/>
      <c r="T111" s="129"/>
      <c r="U111" s="129"/>
    </row>
    <row r="112" spans="1:21" s="128" customFormat="1" ht="26">
      <c r="A112" s="618"/>
      <c r="B112" s="805" t="s">
        <v>649</v>
      </c>
      <c r="C112" s="796" t="str">
        <f>'6'!C112</f>
        <v>C.5.2.  Punktui Tiesiogiai paslaugoms priskirto naudojamo turto buhalterinė įsigijimo vertė</v>
      </c>
      <c r="D112" s="797">
        <f t="shared" si="68"/>
        <v>99.999999999999986</v>
      </c>
      <c r="E112" s="798">
        <f t="shared" si="72"/>
        <v>26.484830705421956</v>
      </c>
      <c r="F112" s="799">
        <f>'6'!F112</f>
        <v>1.6556404717462951</v>
      </c>
      <c r="G112" s="800">
        <f>'6'!G112</f>
        <v>3.0809211404584556</v>
      </c>
      <c r="H112" s="801">
        <f>'6'!H112</f>
        <v>21.748269093217203</v>
      </c>
      <c r="I112" s="798">
        <f t="shared" si="69"/>
        <v>63.461090413357887</v>
      </c>
      <c r="J112" s="799">
        <f>'6'!J112</f>
        <v>31.765519618414213</v>
      </c>
      <c r="K112" s="800">
        <f>'6'!K112</f>
        <v>20.774689234994863</v>
      </c>
      <c r="L112" s="801">
        <f>'6'!L112</f>
        <v>10.92088155994881</v>
      </c>
      <c r="M112" s="802">
        <f>'6'!M112</f>
        <v>9.6210542338051095</v>
      </c>
      <c r="N112" s="792">
        <f t="shared" si="70"/>
        <v>2.7971147677079079E-2</v>
      </c>
      <c r="O112" s="800">
        <f>'6'!O112</f>
        <v>2.7971147677079079E-2</v>
      </c>
      <c r="P112" s="803">
        <f>'6'!P112</f>
        <v>0</v>
      </c>
      <c r="Q112" s="802">
        <f>'6'!Q112</f>
        <v>0.40505349973796229</v>
      </c>
      <c r="R112" s="129" t="s">
        <v>650</v>
      </c>
      <c r="S112" s="129"/>
      <c r="T112" s="129"/>
      <c r="U112" s="129"/>
    </row>
    <row r="113" spans="1:21" s="128" customFormat="1" ht="26">
      <c r="A113" s="618"/>
      <c r="B113" s="795" t="s">
        <v>651</v>
      </c>
      <c r="C113" s="796" t="str">
        <f>'6'!C113</f>
        <v>C.6.1.  Punktui Tiesiogiai paslaugoms priskirto naudojamo turto buhalterinė įsigijimo vertė</v>
      </c>
      <c r="D113" s="797">
        <f t="shared" si="68"/>
        <v>99.999999999999986</v>
      </c>
      <c r="E113" s="798">
        <f t="shared" si="71"/>
        <v>26.484830705421956</v>
      </c>
      <c r="F113" s="799">
        <f>'6'!F113</f>
        <v>1.6556404717462951</v>
      </c>
      <c r="G113" s="800">
        <f>'6'!G113</f>
        <v>3.0809211404584556</v>
      </c>
      <c r="H113" s="801">
        <f>'6'!H113</f>
        <v>21.748269093217203</v>
      </c>
      <c r="I113" s="798">
        <f t="shared" si="69"/>
        <v>63.461090413357887</v>
      </c>
      <c r="J113" s="799">
        <f>'6'!J113</f>
        <v>31.765519618414213</v>
      </c>
      <c r="K113" s="800">
        <f>'6'!K113</f>
        <v>20.774689234994863</v>
      </c>
      <c r="L113" s="801">
        <f>'6'!L113</f>
        <v>10.92088155994881</v>
      </c>
      <c r="M113" s="802">
        <f>'6'!M113</f>
        <v>9.6210542338051095</v>
      </c>
      <c r="N113" s="792">
        <f t="shared" si="70"/>
        <v>2.7971147677079079E-2</v>
      </c>
      <c r="O113" s="800">
        <f>'6'!O113</f>
        <v>2.7971147677079079E-2</v>
      </c>
      <c r="P113" s="803">
        <f>'6'!P113</f>
        <v>0</v>
      </c>
      <c r="Q113" s="802">
        <f>'6'!Q113</f>
        <v>0.40505349973796229</v>
      </c>
      <c r="R113" s="129" t="s">
        <v>652</v>
      </c>
      <c r="S113" s="129"/>
      <c r="T113" s="129"/>
      <c r="U113" s="129"/>
    </row>
    <row r="114" spans="1:21" s="128" customFormat="1" ht="26">
      <c r="A114" s="618"/>
      <c r="B114" s="805" t="s">
        <v>653</v>
      </c>
      <c r="C114" s="806" t="str">
        <f>'6'!C114</f>
        <v>C.6.2.  Punktui Tiesiogiai paslaugoms priskirto naudojamo turto buhalterinė įsigijimo vertė</v>
      </c>
      <c r="D114" s="807">
        <f t="shared" si="68"/>
        <v>99.999999999999986</v>
      </c>
      <c r="E114" s="808">
        <f t="shared" si="71"/>
        <v>26.484830705421956</v>
      </c>
      <c r="F114" s="809">
        <f>'6'!F114</f>
        <v>1.6556404717462951</v>
      </c>
      <c r="G114" s="810">
        <f>'6'!G114</f>
        <v>3.0809211404584556</v>
      </c>
      <c r="H114" s="811">
        <f>'6'!H114</f>
        <v>21.748269093217203</v>
      </c>
      <c r="I114" s="808">
        <f t="shared" si="69"/>
        <v>63.461090413357887</v>
      </c>
      <c r="J114" s="809">
        <f>'6'!J114</f>
        <v>31.765519618414213</v>
      </c>
      <c r="K114" s="810">
        <f>'6'!K114</f>
        <v>20.774689234994863</v>
      </c>
      <c r="L114" s="811">
        <f>'6'!L114</f>
        <v>10.92088155994881</v>
      </c>
      <c r="M114" s="812">
        <f>'6'!M114</f>
        <v>9.6210542338051095</v>
      </c>
      <c r="N114" s="792">
        <f t="shared" si="70"/>
        <v>2.7971147677079079E-2</v>
      </c>
      <c r="O114" s="810">
        <f>'6'!O114</f>
        <v>2.7971147677079079E-2</v>
      </c>
      <c r="P114" s="813">
        <f>'6'!P114</f>
        <v>0</v>
      </c>
      <c r="Q114" s="812">
        <f>'6'!Q114</f>
        <v>0.40505349973796229</v>
      </c>
      <c r="R114" s="129" t="s">
        <v>654</v>
      </c>
      <c r="S114" s="129"/>
      <c r="T114" s="129"/>
      <c r="U114" s="129"/>
    </row>
    <row r="115" spans="1:21" s="128" customFormat="1" ht="26.5" thickBot="1">
      <c r="A115" s="618"/>
      <c r="B115" s="815" t="s">
        <v>655</v>
      </c>
      <c r="C115" s="816" t="str">
        <f>'6'!C115</f>
        <v>C.6.3.  Punktui Tiesiogiai paslaugoms priskirto naudojamo turto buhalterinė įsigijimo vertė</v>
      </c>
      <c r="D115" s="817">
        <f t="shared" si="68"/>
        <v>99.999999999999986</v>
      </c>
      <c r="E115" s="818">
        <f t="shared" si="71"/>
        <v>26.484830705421956</v>
      </c>
      <c r="F115" s="819">
        <f>'6'!F115</f>
        <v>1.6556404717462951</v>
      </c>
      <c r="G115" s="820">
        <f>'6'!G115</f>
        <v>3.0809211404584556</v>
      </c>
      <c r="H115" s="821">
        <f>'6'!H115</f>
        <v>21.748269093217203</v>
      </c>
      <c r="I115" s="818">
        <f t="shared" si="69"/>
        <v>63.461090413357887</v>
      </c>
      <c r="J115" s="819">
        <f>'6'!J115</f>
        <v>31.765519618414213</v>
      </c>
      <c r="K115" s="820">
        <f>'6'!K115</f>
        <v>20.774689234994863</v>
      </c>
      <c r="L115" s="821">
        <f>'6'!L115</f>
        <v>10.92088155994881</v>
      </c>
      <c r="M115" s="822">
        <f>'6'!M115</f>
        <v>9.6210542338051095</v>
      </c>
      <c r="N115" s="792">
        <f t="shared" si="70"/>
        <v>2.7971147677079079E-2</v>
      </c>
      <c r="O115" s="820">
        <f>'6'!O115</f>
        <v>2.7971147677079079E-2</v>
      </c>
      <c r="P115" s="823">
        <f>'6'!P115</f>
        <v>0</v>
      </c>
      <c r="Q115" s="822">
        <f>'6'!Q115</f>
        <v>0.40505349973796229</v>
      </c>
      <c r="R115" s="129" t="s">
        <v>656</v>
      </c>
      <c r="S115" s="129"/>
      <c r="T115" s="129"/>
      <c r="U115" s="129"/>
    </row>
    <row r="116" spans="1:21" ht="15.5" thickTop="1" thickBot="1">
      <c r="A116" s="618" t="s">
        <v>657</v>
      </c>
      <c r="B116" s="634" t="s">
        <v>489</v>
      </c>
      <c r="C116" s="634" t="s">
        <v>658</v>
      </c>
      <c r="D116" s="825">
        <f t="shared" ref="D116:Q116" si="73">D117+D121+D128+D130+D136+D139</f>
        <v>22.091009126984073</v>
      </c>
      <c r="E116" s="826">
        <f t="shared" si="73"/>
        <v>6.9376561811166235</v>
      </c>
      <c r="F116" s="827">
        <f t="shared" si="73"/>
        <v>1.0314921330717777</v>
      </c>
      <c r="G116" s="828">
        <f t="shared" si="73"/>
        <v>0.80670388075743837</v>
      </c>
      <c r="H116" s="829">
        <f t="shared" si="73"/>
        <v>5.0994601672874085</v>
      </c>
      <c r="I116" s="826">
        <f t="shared" si="73"/>
        <v>12.947477394720075</v>
      </c>
      <c r="J116" s="827">
        <f t="shared" si="73"/>
        <v>6.1619584664658893</v>
      </c>
      <c r="K116" s="828">
        <f t="shared" si="73"/>
        <v>4.7378381035318826</v>
      </c>
      <c r="L116" s="829">
        <f t="shared" si="73"/>
        <v>2.0476808247223013</v>
      </c>
      <c r="M116" s="826">
        <f t="shared" si="73"/>
        <v>1.0285634142292501</v>
      </c>
      <c r="N116" s="830">
        <f t="shared" si="70"/>
        <v>0.96833277026652786</v>
      </c>
      <c r="O116" s="828">
        <f>O117+O121+O128+O130+O136+O139</f>
        <v>0.96833277026652786</v>
      </c>
      <c r="P116" s="831">
        <f t="shared" si="73"/>
        <v>0</v>
      </c>
      <c r="Q116" s="826">
        <f t="shared" si="73"/>
        <v>0.20897936665159947</v>
      </c>
    </row>
    <row r="117" spans="1:21" ht="15" thickTop="1">
      <c r="A117" s="618"/>
      <c r="B117" s="643" t="s">
        <v>491</v>
      </c>
      <c r="C117" s="644" t="s">
        <v>6</v>
      </c>
      <c r="D117" s="786">
        <f>SUM(D118:D120)</f>
        <v>0.30099999999999999</v>
      </c>
      <c r="E117" s="833">
        <f>SUM(F117:H117)</f>
        <v>9.45287061588026E-2</v>
      </c>
      <c r="F117" s="834">
        <f>SUM(F118:F120)</f>
        <v>1.4054547271693267E-2</v>
      </c>
      <c r="G117" s="835">
        <f>SUM(G118:G120)</f>
        <v>1.0991705571810569E-2</v>
      </c>
      <c r="H117" s="836">
        <f>SUM(H118:H120)</f>
        <v>6.9482453315298773E-2</v>
      </c>
      <c r="I117" s="833">
        <f t="shared" ref="I117:I142" si="74">SUM(J117:L117)</f>
        <v>0.17641524085245797</v>
      </c>
      <c r="J117" s="834">
        <f t="shared" ref="J117:Q117" si="75">SUM(J118:J120)</f>
        <v>8.3959473636750437E-2</v>
      </c>
      <c r="K117" s="835">
        <f t="shared" si="75"/>
        <v>6.4555188989584664E-2</v>
      </c>
      <c r="L117" s="836">
        <f t="shared" si="75"/>
        <v>2.7900578226122838E-2</v>
      </c>
      <c r="M117" s="833">
        <f t="shared" si="75"/>
        <v>1.401464215162684E-2</v>
      </c>
      <c r="N117" s="837">
        <f t="shared" si="70"/>
        <v>1.3193972361099508E-2</v>
      </c>
      <c r="O117" s="835">
        <f>SUM(O118:O120)</f>
        <v>1.3193972361099508E-2</v>
      </c>
      <c r="P117" s="838">
        <f t="shared" si="75"/>
        <v>0</v>
      </c>
      <c r="Q117" s="833">
        <f t="shared" si="75"/>
        <v>2.847438476013119E-3</v>
      </c>
    </row>
    <row r="118" spans="1:21">
      <c r="A118" s="618"/>
      <c r="B118" s="652" t="s">
        <v>492</v>
      </c>
      <c r="C118" s="653" t="s">
        <v>8</v>
      </c>
      <c r="D118" s="840">
        <v>7.2500000000000004E-3</v>
      </c>
      <c r="E118" s="841">
        <f>SUM(F118:H118)</f>
        <v>2.2768542181106936E-3</v>
      </c>
      <c r="F118" s="842">
        <f t="shared" ref="F118:H120" si="76">IFERROR($D118*F144/100, 0)</f>
        <v>3.3852314857068491E-4</v>
      </c>
      <c r="G118" s="843">
        <f t="shared" si="76"/>
        <v>2.6475038337417481E-4</v>
      </c>
      <c r="H118" s="844">
        <f t="shared" si="76"/>
        <v>1.673580686165834E-3</v>
      </c>
      <c r="I118" s="841">
        <f t="shared" si="74"/>
        <v>4.249204306246911E-3</v>
      </c>
      <c r="J118" s="842">
        <f t="shared" ref="J118:M120" si="77">IFERROR($D118*J144/100, 0)</f>
        <v>2.0222796806194042E-3</v>
      </c>
      <c r="K118" s="843">
        <f t="shared" si="77"/>
        <v>1.5549007314767072E-3</v>
      </c>
      <c r="L118" s="844">
        <f t="shared" si="77"/>
        <v>6.7202389415079919E-4</v>
      </c>
      <c r="M118" s="841">
        <f t="shared" si="77"/>
        <v>3.3756197873519798E-4</v>
      </c>
      <c r="N118" s="845">
        <f t="shared" si="70"/>
        <v>3.1779501534209777E-4</v>
      </c>
      <c r="O118" s="843">
        <f t="shared" ref="O118:Q120" si="78">IFERROR($D118*O144/100, 0)</f>
        <v>3.1779501534209777E-4</v>
      </c>
      <c r="P118" s="846">
        <f t="shared" si="78"/>
        <v>0</v>
      </c>
      <c r="Q118" s="841">
        <f t="shared" si="78"/>
        <v>6.8584481565100045E-5</v>
      </c>
      <c r="R118" s="129" t="s">
        <v>1381</v>
      </c>
    </row>
    <row r="119" spans="1:21">
      <c r="A119" s="618"/>
      <c r="B119" s="652" t="s">
        <v>659</v>
      </c>
      <c r="C119" s="653" t="s">
        <v>9</v>
      </c>
      <c r="D119" s="840">
        <v>0.29375000000000001</v>
      </c>
      <c r="E119" s="841">
        <f t="shared" ref="E119:E138" si="79">SUM(F119:H119)</f>
        <v>9.2251851940691909E-2</v>
      </c>
      <c r="F119" s="842">
        <f t="shared" si="76"/>
        <v>1.3716024123122582E-2</v>
      </c>
      <c r="G119" s="843">
        <f t="shared" si="76"/>
        <v>1.0726955188436393E-2</v>
      </c>
      <c r="H119" s="844">
        <f t="shared" si="76"/>
        <v>6.7808872629132932E-2</v>
      </c>
      <c r="I119" s="841">
        <f t="shared" si="74"/>
        <v>0.17216603654621102</v>
      </c>
      <c r="J119" s="842">
        <f t="shared" si="77"/>
        <v>8.1937193956131027E-2</v>
      </c>
      <c r="K119" s="843">
        <f t="shared" si="77"/>
        <v>6.3000288258107953E-2</v>
      </c>
      <c r="L119" s="844">
        <f t="shared" si="77"/>
        <v>2.7228554331972039E-2</v>
      </c>
      <c r="M119" s="841">
        <f t="shared" si="77"/>
        <v>1.3677080172891643E-2</v>
      </c>
      <c r="N119" s="845">
        <f t="shared" si="70"/>
        <v>1.287617734575741E-2</v>
      </c>
      <c r="O119" s="843">
        <f t="shared" si="78"/>
        <v>1.287617734575741E-2</v>
      </c>
      <c r="P119" s="846">
        <f t="shared" si="78"/>
        <v>0</v>
      </c>
      <c r="Q119" s="841">
        <f t="shared" si="78"/>
        <v>2.7788539944480191E-3</v>
      </c>
      <c r="R119" s="129" t="s">
        <v>1383</v>
      </c>
    </row>
    <row r="120" spans="1:21">
      <c r="A120" s="618"/>
      <c r="B120" s="652" t="s">
        <v>660</v>
      </c>
      <c r="C120" s="653" t="s">
        <v>11</v>
      </c>
      <c r="D120" s="840">
        <v>0</v>
      </c>
      <c r="E120" s="841">
        <f t="shared" si="79"/>
        <v>0</v>
      </c>
      <c r="F120" s="842">
        <f t="shared" si="76"/>
        <v>0</v>
      </c>
      <c r="G120" s="843">
        <f t="shared" si="76"/>
        <v>0</v>
      </c>
      <c r="H120" s="844">
        <f t="shared" si="76"/>
        <v>0</v>
      </c>
      <c r="I120" s="841">
        <f t="shared" si="74"/>
        <v>0</v>
      </c>
      <c r="J120" s="842">
        <f t="shared" si="77"/>
        <v>0</v>
      </c>
      <c r="K120" s="843">
        <f t="shared" si="77"/>
        <v>0</v>
      </c>
      <c r="L120" s="844">
        <f t="shared" si="77"/>
        <v>0</v>
      </c>
      <c r="M120" s="841">
        <f t="shared" si="77"/>
        <v>0</v>
      </c>
      <c r="N120" s="845">
        <f t="shared" si="70"/>
        <v>0</v>
      </c>
      <c r="O120" s="843">
        <f t="shared" si="78"/>
        <v>0</v>
      </c>
      <c r="P120" s="846">
        <f t="shared" si="78"/>
        <v>0</v>
      </c>
      <c r="Q120" s="841">
        <f t="shared" si="78"/>
        <v>0</v>
      </c>
      <c r="R120" s="129" t="s">
        <v>1385</v>
      </c>
    </row>
    <row r="121" spans="1:21">
      <c r="A121" s="618"/>
      <c r="B121" s="643" t="s">
        <v>149</v>
      </c>
      <c r="C121" s="660" t="s">
        <v>13</v>
      </c>
      <c r="D121" s="786">
        <f>SUM(D122:D127)</f>
        <v>12.214270833333281</v>
      </c>
      <c r="E121" s="833">
        <f t="shared" si="79"/>
        <v>3.8358778024856965</v>
      </c>
      <c r="F121" s="834">
        <f>SUM(F122:F127)</f>
        <v>0.57031909241311263</v>
      </c>
      <c r="G121" s="835">
        <f>SUM(G122:G127)</f>
        <v>0.44603212217392935</v>
      </c>
      <c r="H121" s="836">
        <f>SUM(H122:H127)</f>
        <v>2.8195265878986548</v>
      </c>
      <c r="I121" s="833">
        <f t="shared" si="74"/>
        <v>7.1587492720918373</v>
      </c>
      <c r="J121" s="834">
        <f t="shared" ref="J121:Q121" si="80">SUM(J122:J127)</f>
        <v>3.4069892027354665</v>
      </c>
      <c r="K121" s="835">
        <f t="shared" si="80"/>
        <v>2.6195832625109694</v>
      </c>
      <c r="L121" s="836">
        <f t="shared" si="80"/>
        <v>1.1321768068454012</v>
      </c>
      <c r="M121" s="833">
        <f t="shared" si="80"/>
        <v>0.56869978362863427</v>
      </c>
      <c r="N121" s="837">
        <f t="shared" si="70"/>
        <v>0.53539784646506039</v>
      </c>
      <c r="O121" s="835">
        <f>SUM(O122:O127)</f>
        <v>0.53539784646506039</v>
      </c>
      <c r="P121" s="838">
        <f t="shared" si="80"/>
        <v>0</v>
      </c>
      <c r="Q121" s="833">
        <f t="shared" si="80"/>
        <v>0.11554612866205317</v>
      </c>
    </row>
    <row r="122" spans="1:21">
      <c r="A122" s="618"/>
      <c r="B122" s="652" t="s">
        <v>493</v>
      </c>
      <c r="C122" s="653" t="s">
        <v>15</v>
      </c>
      <c r="D122" s="840">
        <v>4.1605316666666186</v>
      </c>
      <c r="E122" s="841">
        <f t="shared" si="79"/>
        <v>1.3066102172183456</v>
      </c>
      <c r="F122" s="842">
        <f t="shared" ref="F122:H127" si="81">IFERROR($D122*F147/100, 0)</f>
        <v>0.19426707303834803</v>
      </c>
      <c r="G122" s="843">
        <f t="shared" si="81"/>
        <v>0.15193135914350092</v>
      </c>
      <c r="H122" s="844">
        <f t="shared" si="81"/>
        <v>0.9604117850364966</v>
      </c>
      <c r="I122" s="841">
        <f t="shared" si="74"/>
        <v>2.4384757343829557</v>
      </c>
      <c r="J122" s="842">
        <f t="shared" ref="J122:Q127" si="82">IFERROR($D122*J147/100, 0)</f>
        <v>1.1605184344928947</v>
      </c>
      <c r="K122" s="843">
        <f t="shared" si="82"/>
        <v>0.89230534232164527</v>
      </c>
      <c r="L122" s="844">
        <f t="shared" si="82"/>
        <v>0.38565195756841597</v>
      </c>
      <c r="M122" s="841">
        <f t="shared" si="82"/>
        <v>0.19371548992971516</v>
      </c>
      <c r="N122" s="845">
        <f t="shared" si="70"/>
        <v>0.18237189308132437</v>
      </c>
      <c r="O122" s="843">
        <f t="shared" ref="O122:Q126" si="83">IFERROR($D122*O147/100, 0)</f>
        <v>0.18237189308132437</v>
      </c>
      <c r="P122" s="846">
        <f t="shared" si="83"/>
        <v>0</v>
      </c>
      <c r="Q122" s="841">
        <f t="shared" si="83"/>
        <v>3.9358332054277467E-2</v>
      </c>
      <c r="R122" s="129" t="s">
        <v>1387</v>
      </c>
    </row>
    <row r="123" spans="1:21">
      <c r="A123" s="618"/>
      <c r="B123" s="652" t="s">
        <v>494</v>
      </c>
      <c r="C123" s="653" t="s">
        <v>593</v>
      </c>
      <c r="D123" s="840">
        <v>8.0537391666666629</v>
      </c>
      <c r="E123" s="841">
        <f t="shared" si="79"/>
        <v>2.529267585267351</v>
      </c>
      <c r="F123" s="842">
        <f t="shared" si="81"/>
        <v>0.37605201937476457</v>
      </c>
      <c r="G123" s="843">
        <f t="shared" si="81"/>
        <v>0.29410076303042842</v>
      </c>
      <c r="H123" s="844">
        <f t="shared" si="81"/>
        <v>1.859114802862158</v>
      </c>
      <c r="I123" s="841">
        <f t="shared" si="74"/>
        <v>4.7202735377088816</v>
      </c>
      <c r="J123" s="842">
        <f t="shared" si="82"/>
        <v>2.2464707682425717</v>
      </c>
      <c r="K123" s="843">
        <f t="shared" si="82"/>
        <v>1.727277920189324</v>
      </c>
      <c r="L123" s="844">
        <f t="shared" si="82"/>
        <v>0.74652484927698526</v>
      </c>
      <c r="M123" s="841">
        <f t="shared" si="82"/>
        <v>0.37498429369891911</v>
      </c>
      <c r="N123" s="845">
        <f t="shared" si="70"/>
        <v>0.35302595338373599</v>
      </c>
      <c r="O123" s="843">
        <f t="shared" si="83"/>
        <v>0.35302595338373599</v>
      </c>
      <c r="P123" s="846">
        <f t="shared" si="83"/>
        <v>0</v>
      </c>
      <c r="Q123" s="841">
        <f t="shared" si="83"/>
        <v>7.6187796607775707E-2</v>
      </c>
      <c r="R123" s="890" t="s">
        <v>1389</v>
      </c>
      <c r="S123" s="890" t="s">
        <v>1391</v>
      </c>
      <c r="T123" s="890" t="s">
        <v>1393</v>
      </c>
      <c r="U123" s="890" t="s">
        <v>1395</v>
      </c>
    </row>
    <row r="124" spans="1:21">
      <c r="A124" s="618"/>
      <c r="B124" s="652" t="s">
        <v>661</v>
      </c>
      <c r="C124" s="653" t="s">
        <v>21</v>
      </c>
      <c r="D124" s="840">
        <v>0</v>
      </c>
      <c r="E124" s="841">
        <f t="shared" si="79"/>
        <v>0</v>
      </c>
      <c r="F124" s="842">
        <f t="shared" si="81"/>
        <v>0</v>
      </c>
      <c r="G124" s="843">
        <f t="shared" si="81"/>
        <v>0</v>
      </c>
      <c r="H124" s="844">
        <f t="shared" si="81"/>
        <v>0</v>
      </c>
      <c r="I124" s="841">
        <f t="shared" si="74"/>
        <v>0</v>
      </c>
      <c r="J124" s="842">
        <f t="shared" si="82"/>
        <v>0</v>
      </c>
      <c r="K124" s="843">
        <f t="shared" si="82"/>
        <v>0</v>
      </c>
      <c r="L124" s="844">
        <f t="shared" si="82"/>
        <v>0</v>
      </c>
      <c r="M124" s="841">
        <f t="shared" si="82"/>
        <v>0</v>
      </c>
      <c r="N124" s="845">
        <f t="shared" si="70"/>
        <v>0</v>
      </c>
      <c r="O124" s="843">
        <f t="shared" si="83"/>
        <v>0</v>
      </c>
      <c r="P124" s="846">
        <f t="shared" si="83"/>
        <v>0</v>
      </c>
      <c r="Q124" s="841">
        <f t="shared" si="83"/>
        <v>0</v>
      </c>
      <c r="R124" s="890" t="s">
        <v>1397</v>
      </c>
    </row>
    <row r="125" spans="1:21">
      <c r="A125" s="618"/>
      <c r="B125" s="652" t="s">
        <v>662</v>
      </c>
      <c r="C125" s="653" t="s">
        <v>23</v>
      </c>
      <c r="D125" s="840">
        <v>0</v>
      </c>
      <c r="E125" s="841">
        <f t="shared" si="79"/>
        <v>0</v>
      </c>
      <c r="F125" s="842">
        <f t="shared" si="81"/>
        <v>0</v>
      </c>
      <c r="G125" s="843">
        <f t="shared" si="81"/>
        <v>0</v>
      </c>
      <c r="H125" s="844">
        <f t="shared" si="81"/>
        <v>0</v>
      </c>
      <c r="I125" s="841">
        <f t="shared" ref="I125:I126" si="84">SUM(J125:L125)</f>
        <v>0</v>
      </c>
      <c r="J125" s="842">
        <f t="shared" si="82"/>
        <v>0</v>
      </c>
      <c r="K125" s="843">
        <f t="shared" si="82"/>
        <v>0</v>
      </c>
      <c r="L125" s="844">
        <f t="shared" si="82"/>
        <v>0</v>
      </c>
      <c r="M125" s="841">
        <f t="shared" si="82"/>
        <v>0</v>
      </c>
      <c r="N125" s="845">
        <f t="shared" si="70"/>
        <v>0</v>
      </c>
      <c r="O125" s="843">
        <f t="shared" si="83"/>
        <v>0</v>
      </c>
      <c r="P125" s="846">
        <f t="shared" si="83"/>
        <v>0</v>
      </c>
      <c r="Q125" s="841">
        <f t="shared" si="83"/>
        <v>0</v>
      </c>
      <c r="R125" s="890" t="s">
        <v>1399</v>
      </c>
    </row>
    <row r="126" spans="1:21">
      <c r="A126" s="618"/>
      <c r="B126" s="652" t="s">
        <v>663</v>
      </c>
      <c r="C126" s="653" t="s">
        <v>25</v>
      </c>
      <c r="D126" s="840">
        <v>0</v>
      </c>
      <c r="E126" s="841">
        <f t="shared" si="79"/>
        <v>0</v>
      </c>
      <c r="F126" s="842">
        <f t="shared" si="81"/>
        <v>0</v>
      </c>
      <c r="G126" s="843">
        <f t="shared" si="81"/>
        <v>0</v>
      </c>
      <c r="H126" s="844">
        <f t="shared" si="81"/>
        <v>0</v>
      </c>
      <c r="I126" s="841">
        <f t="shared" si="84"/>
        <v>0</v>
      </c>
      <c r="J126" s="842">
        <f t="shared" si="82"/>
        <v>0</v>
      </c>
      <c r="K126" s="843">
        <f t="shared" si="82"/>
        <v>0</v>
      </c>
      <c r="L126" s="844">
        <f t="shared" si="82"/>
        <v>0</v>
      </c>
      <c r="M126" s="841">
        <f t="shared" si="82"/>
        <v>0</v>
      </c>
      <c r="N126" s="845">
        <f t="shared" si="70"/>
        <v>0</v>
      </c>
      <c r="O126" s="843">
        <f t="shared" si="83"/>
        <v>0</v>
      </c>
      <c r="P126" s="846">
        <f t="shared" si="83"/>
        <v>0</v>
      </c>
      <c r="Q126" s="841">
        <f t="shared" si="83"/>
        <v>0</v>
      </c>
      <c r="R126" s="890" t="s">
        <v>1401</v>
      </c>
    </row>
    <row r="127" spans="1:21">
      <c r="A127" s="618"/>
      <c r="B127" s="652" t="s">
        <v>664</v>
      </c>
      <c r="C127" s="653" t="s">
        <v>665</v>
      </c>
      <c r="D127" s="840">
        <v>0</v>
      </c>
      <c r="E127" s="841">
        <f t="shared" si="79"/>
        <v>0</v>
      </c>
      <c r="F127" s="842">
        <f t="shared" si="81"/>
        <v>0</v>
      </c>
      <c r="G127" s="843">
        <f t="shared" si="81"/>
        <v>0</v>
      </c>
      <c r="H127" s="844">
        <f t="shared" si="81"/>
        <v>0</v>
      </c>
      <c r="I127" s="841">
        <f t="shared" si="74"/>
        <v>0</v>
      </c>
      <c r="J127" s="842">
        <f t="shared" si="82"/>
        <v>0</v>
      </c>
      <c r="K127" s="843">
        <f t="shared" si="82"/>
        <v>0</v>
      </c>
      <c r="L127" s="844">
        <f t="shared" si="82"/>
        <v>0</v>
      </c>
      <c r="M127" s="841">
        <f t="shared" si="82"/>
        <v>0</v>
      </c>
      <c r="N127" s="845">
        <f t="shared" si="70"/>
        <v>0</v>
      </c>
      <c r="O127" s="843">
        <f>IFERROR($D127*O152/100, 0)</f>
        <v>0</v>
      </c>
      <c r="P127" s="846">
        <f t="shared" si="82"/>
        <v>0</v>
      </c>
      <c r="Q127" s="841">
        <f t="shared" si="82"/>
        <v>0</v>
      </c>
      <c r="R127" s="890" t="s">
        <v>1403</v>
      </c>
    </row>
    <row r="128" spans="1:21">
      <c r="A128" s="618"/>
      <c r="B128" s="643" t="s">
        <v>151</v>
      </c>
      <c r="C128" s="661" t="s">
        <v>29</v>
      </c>
      <c r="D128" s="786">
        <f>D129</f>
        <v>0</v>
      </c>
      <c r="E128" s="833">
        <f t="shared" si="79"/>
        <v>0</v>
      </c>
      <c r="F128" s="834">
        <f>F129</f>
        <v>0</v>
      </c>
      <c r="G128" s="835">
        <f>G129</f>
        <v>0</v>
      </c>
      <c r="H128" s="836">
        <f>H129</f>
        <v>0</v>
      </c>
      <c r="I128" s="833">
        <f t="shared" si="74"/>
        <v>0</v>
      </c>
      <c r="J128" s="834">
        <f t="shared" ref="J128:Q128" si="85">J129</f>
        <v>0</v>
      </c>
      <c r="K128" s="835">
        <f t="shared" si="85"/>
        <v>0</v>
      </c>
      <c r="L128" s="836">
        <f t="shared" si="85"/>
        <v>0</v>
      </c>
      <c r="M128" s="833">
        <f t="shared" si="85"/>
        <v>0</v>
      </c>
      <c r="N128" s="837">
        <f t="shared" si="70"/>
        <v>0</v>
      </c>
      <c r="O128" s="835">
        <f>O129</f>
        <v>0</v>
      </c>
      <c r="P128" s="838">
        <f t="shared" si="85"/>
        <v>0</v>
      </c>
      <c r="Q128" s="833">
        <f t="shared" si="85"/>
        <v>0</v>
      </c>
    </row>
    <row r="129" spans="1:21">
      <c r="A129" s="618"/>
      <c r="B129" s="652" t="s">
        <v>495</v>
      </c>
      <c r="C129" s="662" t="s">
        <v>666</v>
      </c>
      <c r="D129" s="840">
        <v>0</v>
      </c>
      <c r="E129" s="841">
        <f t="shared" si="79"/>
        <v>0</v>
      </c>
      <c r="F129" s="842">
        <f>IFERROR($D129*F153/100, 0)</f>
        <v>0</v>
      </c>
      <c r="G129" s="843">
        <f>IFERROR($D129*G153/100, 0)</f>
        <v>0</v>
      </c>
      <c r="H129" s="844">
        <f>IFERROR($D129*H153/100, 0)</f>
        <v>0</v>
      </c>
      <c r="I129" s="841">
        <f t="shared" si="74"/>
        <v>0</v>
      </c>
      <c r="J129" s="842">
        <f t="shared" ref="J129:Q129" si="86">IFERROR($D129*J153/100, 0)</f>
        <v>0</v>
      </c>
      <c r="K129" s="843">
        <f t="shared" si="86"/>
        <v>0</v>
      </c>
      <c r="L129" s="844">
        <f t="shared" si="86"/>
        <v>0</v>
      </c>
      <c r="M129" s="841">
        <f t="shared" si="86"/>
        <v>0</v>
      </c>
      <c r="N129" s="845">
        <f t="shared" si="70"/>
        <v>0</v>
      </c>
      <c r="O129" s="843">
        <f>IFERROR($D129*O153/100, 0)</f>
        <v>0</v>
      </c>
      <c r="P129" s="846">
        <f t="shared" si="86"/>
        <v>0</v>
      </c>
      <c r="Q129" s="841">
        <f t="shared" si="86"/>
        <v>0</v>
      </c>
      <c r="R129" s="890" t="s">
        <v>1405</v>
      </c>
    </row>
    <row r="130" spans="1:21">
      <c r="A130" s="618"/>
      <c r="B130" s="643" t="s">
        <v>153</v>
      </c>
      <c r="C130" s="661" t="s">
        <v>35</v>
      </c>
      <c r="D130" s="786">
        <f>D131+D135</f>
        <v>1.0943672222222225</v>
      </c>
      <c r="E130" s="833">
        <f t="shared" si="79"/>
        <v>0.34368477601086206</v>
      </c>
      <c r="F130" s="834">
        <f>F131+F135</f>
        <v>5.109912244954775E-2</v>
      </c>
      <c r="G130" s="835">
        <f>G131+G135</f>
        <v>3.9963329880753677E-2</v>
      </c>
      <c r="H130" s="836">
        <f>H131+H135</f>
        <v>0.25262232368056065</v>
      </c>
      <c r="I130" s="833">
        <f t="shared" si="74"/>
        <v>0.64140550528029494</v>
      </c>
      <c r="J130" s="834">
        <f t="shared" ref="J130:Q130" si="87">J131+J135</f>
        <v>0.30525746160495182</v>
      </c>
      <c r="K130" s="835">
        <f t="shared" si="87"/>
        <v>0.23470791646034012</v>
      </c>
      <c r="L130" s="836">
        <f t="shared" si="87"/>
        <v>0.1014401272150029</v>
      </c>
      <c r="M130" s="833">
        <f t="shared" si="87"/>
        <v>5.0954036551210419E-2</v>
      </c>
      <c r="N130" s="837">
        <f t="shared" si="70"/>
        <v>4.797026871393105E-2</v>
      </c>
      <c r="O130" s="835">
        <f>O131+O135</f>
        <v>4.797026871393105E-2</v>
      </c>
      <c r="P130" s="838">
        <f t="shared" si="87"/>
        <v>0</v>
      </c>
      <c r="Q130" s="833">
        <f t="shared" si="87"/>
        <v>1.0352635665924103E-2</v>
      </c>
      <c r="R130" s="890"/>
    </row>
    <row r="131" spans="1:21">
      <c r="A131" s="618"/>
      <c r="B131" s="652" t="s">
        <v>496</v>
      </c>
      <c r="C131" s="662" t="s">
        <v>37</v>
      </c>
      <c r="D131" s="840">
        <v>0</v>
      </c>
      <c r="E131" s="841">
        <f t="shared" si="79"/>
        <v>0</v>
      </c>
      <c r="F131" s="842">
        <f>IFERROR($D131*F154/100, 0)</f>
        <v>0</v>
      </c>
      <c r="G131" s="843">
        <f>IFERROR($D131*G154/100, 0)</f>
        <v>0</v>
      </c>
      <c r="H131" s="844">
        <f>IFERROR($D131*H154/100, 0)</f>
        <v>0</v>
      </c>
      <c r="I131" s="841">
        <f t="shared" si="74"/>
        <v>0</v>
      </c>
      <c r="J131" s="842">
        <f>IFERROR($D131*J154/100, 0)</f>
        <v>0</v>
      </c>
      <c r="K131" s="843">
        <f>IFERROR($D131*K154/100, 0)</f>
        <v>0</v>
      </c>
      <c r="L131" s="844">
        <f>IFERROR($D131*L154/100, 0)</f>
        <v>0</v>
      </c>
      <c r="M131" s="841">
        <f>IFERROR($D131*M154/100, 0)</f>
        <v>0</v>
      </c>
      <c r="N131" s="845">
        <f t="shared" si="70"/>
        <v>0</v>
      </c>
      <c r="O131" s="843">
        <f>IFERROR($D131*O154/100, 0)</f>
        <v>0</v>
      </c>
      <c r="P131" s="846">
        <f>IFERROR($D131*P154/100, 0)</f>
        <v>0</v>
      </c>
      <c r="Q131" s="841">
        <f>IFERROR($D131*Q154/100, 0)</f>
        <v>0</v>
      </c>
      <c r="R131" s="890" t="s">
        <v>1409</v>
      </c>
    </row>
    <row r="132" spans="1:21">
      <c r="A132" s="618"/>
      <c r="B132" s="652" t="s">
        <v>497</v>
      </c>
      <c r="C132" s="670" t="s">
        <v>40</v>
      </c>
      <c r="D132" s="840">
        <v>0</v>
      </c>
      <c r="E132" s="841">
        <f t="shared" si="79"/>
        <v>0</v>
      </c>
      <c r="F132" s="842">
        <f t="shared" ref="F132:H135" si="88">IFERROR($D132*F155/100, 0)</f>
        <v>0</v>
      </c>
      <c r="G132" s="843">
        <f t="shared" si="88"/>
        <v>0</v>
      </c>
      <c r="H132" s="844">
        <f t="shared" si="88"/>
        <v>0</v>
      </c>
      <c r="I132" s="841">
        <f t="shared" ref="I132:I134" si="89">SUM(J132:L132)</f>
        <v>0</v>
      </c>
      <c r="J132" s="842">
        <f t="shared" ref="J132:Q135" si="90">IFERROR($D132*J155/100, 0)</f>
        <v>0</v>
      </c>
      <c r="K132" s="843">
        <f t="shared" si="90"/>
        <v>0</v>
      </c>
      <c r="L132" s="844">
        <f t="shared" si="90"/>
        <v>0</v>
      </c>
      <c r="M132" s="841">
        <f t="shared" si="90"/>
        <v>0</v>
      </c>
      <c r="N132" s="845">
        <f t="shared" si="70"/>
        <v>0</v>
      </c>
      <c r="O132" s="843">
        <f t="shared" ref="O132:Q134" si="91">IFERROR($D132*O155/100, 0)</f>
        <v>0</v>
      </c>
      <c r="P132" s="846">
        <f t="shared" si="91"/>
        <v>0</v>
      </c>
      <c r="Q132" s="841">
        <f t="shared" si="91"/>
        <v>0</v>
      </c>
      <c r="R132" s="890" t="s">
        <v>1411</v>
      </c>
    </row>
    <row r="133" spans="1:21">
      <c r="A133" s="618"/>
      <c r="B133" s="652" t="s">
        <v>498</v>
      </c>
      <c r="C133" s="670" t="s">
        <v>43</v>
      </c>
      <c r="D133" s="840">
        <v>0</v>
      </c>
      <c r="E133" s="841">
        <f t="shared" si="79"/>
        <v>0</v>
      </c>
      <c r="F133" s="842">
        <f t="shared" si="88"/>
        <v>0</v>
      </c>
      <c r="G133" s="843">
        <f t="shared" si="88"/>
        <v>0</v>
      </c>
      <c r="H133" s="844">
        <f t="shared" si="88"/>
        <v>0</v>
      </c>
      <c r="I133" s="841">
        <f t="shared" si="89"/>
        <v>0</v>
      </c>
      <c r="J133" s="842">
        <f t="shared" si="90"/>
        <v>0</v>
      </c>
      <c r="K133" s="843">
        <f t="shared" si="90"/>
        <v>0</v>
      </c>
      <c r="L133" s="844">
        <f t="shared" si="90"/>
        <v>0</v>
      </c>
      <c r="M133" s="841">
        <f t="shared" si="90"/>
        <v>0</v>
      </c>
      <c r="N133" s="845">
        <f t="shared" si="70"/>
        <v>0</v>
      </c>
      <c r="O133" s="843">
        <f t="shared" si="91"/>
        <v>0</v>
      </c>
      <c r="P133" s="846">
        <f t="shared" si="91"/>
        <v>0</v>
      </c>
      <c r="Q133" s="841">
        <f t="shared" si="91"/>
        <v>0</v>
      </c>
      <c r="R133" s="890" t="s">
        <v>1413</v>
      </c>
    </row>
    <row r="134" spans="1:21" ht="26.5">
      <c r="A134" s="618"/>
      <c r="B134" s="652" t="s">
        <v>499</v>
      </c>
      <c r="C134" s="670" t="s">
        <v>45</v>
      </c>
      <c r="D134" s="840">
        <v>0</v>
      </c>
      <c r="E134" s="841">
        <f t="shared" si="79"/>
        <v>0</v>
      </c>
      <c r="F134" s="842">
        <f t="shared" si="88"/>
        <v>0</v>
      </c>
      <c r="G134" s="843">
        <f t="shared" si="88"/>
        <v>0</v>
      </c>
      <c r="H134" s="844">
        <f t="shared" si="88"/>
        <v>0</v>
      </c>
      <c r="I134" s="841">
        <f t="shared" si="89"/>
        <v>0</v>
      </c>
      <c r="J134" s="842">
        <f t="shared" si="90"/>
        <v>0</v>
      </c>
      <c r="K134" s="843">
        <f t="shared" si="90"/>
        <v>0</v>
      </c>
      <c r="L134" s="844">
        <f t="shared" si="90"/>
        <v>0</v>
      </c>
      <c r="M134" s="841">
        <f t="shared" si="90"/>
        <v>0</v>
      </c>
      <c r="N134" s="845">
        <f t="shared" si="70"/>
        <v>0</v>
      </c>
      <c r="O134" s="843">
        <f t="shared" si="91"/>
        <v>0</v>
      </c>
      <c r="P134" s="846">
        <f t="shared" si="91"/>
        <v>0</v>
      </c>
      <c r="Q134" s="841">
        <f t="shared" si="91"/>
        <v>0</v>
      </c>
      <c r="R134" s="890" t="s">
        <v>1415</v>
      </c>
    </row>
    <row r="135" spans="1:21" ht="26.5">
      <c r="A135" s="618"/>
      <c r="B135" s="652" t="s">
        <v>500</v>
      </c>
      <c r="C135" s="670" t="s">
        <v>603</v>
      </c>
      <c r="D135" s="840">
        <v>1.0943672222222225</v>
      </c>
      <c r="E135" s="841">
        <f t="shared" si="79"/>
        <v>0.34368477601086206</v>
      </c>
      <c r="F135" s="842">
        <f t="shared" si="88"/>
        <v>5.109912244954775E-2</v>
      </c>
      <c r="G135" s="843">
        <f t="shared" si="88"/>
        <v>3.9963329880753677E-2</v>
      </c>
      <c r="H135" s="844">
        <f t="shared" si="88"/>
        <v>0.25262232368056065</v>
      </c>
      <c r="I135" s="841">
        <f t="shared" si="74"/>
        <v>0.64140550528029494</v>
      </c>
      <c r="J135" s="842">
        <f t="shared" si="90"/>
        <v>0.30525746160495182</v>
      </c>
      <c r="K135" s="843">
        <f t="shared" si="90"/>
        <v>0.23470791646034012</v>
      </c>
      <c r="L135" s="844">
        <f t="shared" si="90"/>
        <v>0.1014401272150029</v>
      </c>
      <c r="M135" s="841">
        <f t="shared" si="90"/>
        <v>5.0954036551210419E-2</v>
      </c>
      <c r="N135" s="845">
        <f t="shared" si="70"/>
        <v>4.797026871393105E-2</v>
      </c>
      <c r="O135" s="843">
        <f>IFERROR($D135*O158/100, 0)</f>
        <v>4.797026871393105E-2</v>
      </c>
      <c r="P135" s="846">
        <f t="shared" si="90"/>
        <v>0</v>
      </c>
      <c r="Q135" s="841">
        <f t="shared" si="90"/>
        <v>1.0352635665924103E-2</v>
      </c>
      <c r="R135" s="890" t="s">
        <v>1417</v>
      </c>
    </row>
    <row r="136" spans="1:21">
      <c r="A136" s="618"/>
      <c r="B136" s="643" t="s">
        <v>155</v>
      </c>
      <c r="C136" s="672" t="s">
        <v>51</v>
      </c>
      <c r="D136" s="797">
        <f>D137+D138</f>
        <v>7.2547619047619047</v>
      </c>
      <c r="E136" s="798">
        <f t="shared" si="79"/>
        <v>2.2783496888615051</v>
      </c>
      <c r="F136" s="848">
        <f>F137+F138</f>
        <v>0.33874549546629784</v>
      </c>
      <c r="G136" s="849">
        <f>G137+G138</f>
        <v>0.26492427525159623</v>
      </c>
      <c r="H136" s="850">
        <f>H137+H138</f>
        <v>1.6746799181436112</v>
      </c>
      <c r="I136" s="798">
        <f t="shared" si="74"/>
        <v>4.2519952450359071</v>
      </c>
      <c r="J136" s="848">
        <f t="shared" ref="J136:Q136" si="92">J137+J138</f>
        <v>2.0236079431354104</v>
      </c>
      <c r="K136" s="849">
        <f t="shared" si="92"/>
        <v>1.555922012745329</v>
      </c>
      <c r="L136" s="850">
        <f t="shared" si="92"/>
        <v>0.67246528915516746</v>
      </c>
      <c r="M136" s="798">
        <f t="shared" si="92"/>
        <v>0.33778369432057415</v>
      </c>
      <c r="N136" s="851">
        <f t="shared" si="70"/>
        <v>0.31800374770028633</v>
      </c>
      <c r="O136" s="849">
        <f>O137+O138</f>
        <v>0.31800374770028633</v>
      </c>
      <c r="P136" s="852">
        <f t="shared" si="92"/>
        <v>0</v>
      </c>
      <c r="Q136" s="798">
        <f t="shared" si="92"/>
        <v>6.8629528843632132E-2</v>
      </c>
    </row>
    <row r="137" spans="1:21">
      <c r="A137" s="618"/>
      <c r="B137" s="681" t="s">
        <v>667</v>
      </c>
      <c r="C137" s="682" t="s">
        <v>53</v>
      </c>
      <c r="D137" s="854">
        <v>7.2547619047619047</v>
      </c>
      <c r="E137" s="841">
        <f t="shared" si="79"/>
        <v>2.2783496888615051</v>
      </c>
      <c r="F137" s="842">
        <f t="shared" ref="F137:H138" si="93">IFERROR($D137*F159/100, 0)</f>
        <v>0.33874549546629784</v>
      </c>
      <c r="G137" s="843">
        <f t="shared" si="93"/>
        <v>0.26492427525159623</v>
      </c>
      <c r="H137" s="844">
        <f t="shared" si="93"/>
        <v>1.6746799181436112</v>
      </c>
      <c r="I137" s="841">
        <f t="shared" si="74"/>
        <v>4.2519952450359071</v>
      </c>
      <c r="J137" s="842">
        <f t="shared" ref="J137:M138" si="94">IFERROR($D137*J159/100, 0)</f>
        <v>2.0236079431354104</v>
      </c>
      <c r="K137" s="843">
        <f t="shared" si="94"/>
        <v>1.555922012745329</v>
      </c>
      <c r="L137" s="844">
        <f t="shared" si="94"/>
        <v>0.67246528915516746</v>
      </c>
      <c r="M137" s="841">
        <f t="shared" si="94"/>
        <v>0.33778369432057415</v>
      </c>
      <c r="N137" s="845">
        <f t="shared" si="70"/>
        <v>0.31800374770028633</v>
      </c>
      <c r="O137" s="843">
        <f t="shared" ref="O137:Q138" si="95">IFERROR($D137*O159/100, 0)</f>
        <v>0.31800374770028633</v>
      </c>
      <c r="P137" s="846">
        <f t="shared" si="95"/>
        <v>0</v>
      </c>
      <c r="Q137" s="841">
        <f t="shared" si="95"/>
        <v>6.8629528843632132E-2</v>
      </c>
      <c r="R137" s="129" t="s">
        <v>1435</v>
      </c>
    </row>
    <row r="138" spans="1:21">
      <c r="A138" s="618"/>
      <c r="B138" s="681" t="s">
        <v>668</v>
      </c>
      <c r="C138" s="691" t="s">
        <v>669</v>
      </c>
      <c r="D138" s="854">
        <v>0</v>
      </c>
      <c r="E138" s="841">
        <f t="shared" si="79"/>
        <v>0</v>
      </c>
      <c r="F138" s="842">
        <f t="shared" si="93"/>
        <v>0</v>
      </c>
      <c r="G138" s="843">
        <f t="shared" si="93"/>
        <v>0</v>
      </c>
      <c r="H138" s="844">
        <f t="shared" si="93"/>
        <v>0</v>
      </c>
      <c r="I138" s="841">
        <f t="shared" si="74"/>
        <v>0</v>
      </c>
      <c r="J138" s="842">
        <f t="shared" si="94"/>
        <v>0</v>
      </c>
      <c r="K138" s="843">
        <f t="shared" si="94"/>
        <v>0</v>
      </c>
      <c r="L138" s="844">
        <f t="shared" si="94"/>
        <v>0</v>
      </c>
      <c r="M138" s="841">
        <f t="shared" si="94"/>
        <v>0</v>
      </c>
      <c r="N138" s="845">
        <f t="shared" si="70"/>
        <v>0</v>
      </c>
      <c r="O138" s="843">
        <f t="shared" si="95"/>
        <v>0</v>
      </c>
      <c r="P138" s="846">
        <f t="shared" si="95"/>
        <v>0</v>
      </c>
      <c r="Q138" s="841">
        <f t="shared" si="95"/>
        <v>0</v>
      </c>
      <c r="R138" s="129" t="s">
        <v>1436</v>
      </c>
    </row>
    <row r="139" spans="1:21">
      <c r="A139" s="618"/>
      <c r="B139" s="694" t="s">
        <v>157</v>
      </c>
      <c r="C139" s="695" t="s">
        <v>604</v>
      </c>
      <c r="D139" s="797">
        <f>D140+D141+D142</f>
        <v>1.2266091666666665</v>
      </c>
      <c r="E139" s="798">
        <f t="shared" ref="E139:Q139" si="96">E140+E141+E142</f>
        <v>0.38521520759975758</v>
      </c>
      <c r="F139" s="797">
        <f t="shared" si="96"/>
        <v>5.7273875471126071E-2</v>
      </c>
      <c r="G139" s="855">
        <f t="shared" si="96"/>
        <v>4.4792447879348558E-2</v>
      </c>
      <c r="H139" s="856">
        <f t="shared" si="96"/>
        <v>0.28314888424928297</v>
      </c>
      <c r="I139" s="798">
        <f t="shared" si="96"/>
        <v>0.718912131459577</v>
      </c>
      <c r="J139" s="855">
        <f t="shared" si="96"/>
        <v>0.34214438535331032</v>
      </c>
      <c r="K139" s="855">
        <f t="shared" si="96"/>
        <v>0.26306972282565982</v>
      </c>
      <c r="L139" s="857">
        <f t="shared" si="96"/>
        <v>0.11369802328060688</v>
      </c>
      <c r="M139" s="858">
        <f t="shared" si="96"/>
        <v>5.711125757720445E-2</v>
      </c>
      <c r="N139" s="851">
        <f t="shared" si="70"/>
        <v>5.3766935026150486E-2</v>
      </c>
      <c r="O139" s="855">
        <f>O140+O141+O142</f>
        <v>5.3766935026150486E-2</v>
      </c>
      <c r="P139" s="859">
        <f t="shared" si="96"/>
        <v>0</v>
      </c>
      <c r="Q139" s="858">
        <f t="shared" si="96"/>
        <v>1.1603635003976926E-2</v>
      </c>
    </row>
    <row r="140" spans="1:21">
      <c r="A140" s="618"/>
      <c r="B140" s="696" t="s">
        <v>501</v>
      </c>
      <c r="C140" s="697" t="s">
        <v>1433</v>
      </c>
      <c r="D140" s="861">
        <v>0</v>
      </c>
      <c r="E140" s="841">
        <f>SUM(F140:H140)</f>
        <v>0</v>
      </c>
      <c r="F140" s="842">
        <f t="shared" ref="F140:H142" si="97">IFERROR($D140*F161/100, 0)</f>
        <v>0</v>
      </c>
      <c r="G140" s="843">
        <f t="shared" si="97"/>
        <v>0</v>
      </c>
      <c r="H140" s="844">
        <f t="shared" si="97"/>
        <v>0</v>
      </c>
      <c r="I140" s="841">
        <f t="shared" si="74"/>
        <v>0</v>
      </c>
      <c r="J140" s="842">
        <f t="shared" ref="J140:M142" si="98">IFERROR($D140*J161/100, 0)</f>
        <v>0</v>
      </c>
      <c r="K140" s="843">
        <f t="shared" si="98"/>
        <v>0</v>
      </c>
      <c r="L140" s="844">
        <f t="shared" si="98"/>
        <v>0</v>
      </c>
      <c r="M140" s="841">
        <f t="shared" si="98"/>
        <v>0</v>
      </c>
      <c r="N140" s="845">
        <f t="shared" si="70"/>
        <v>0</v>
      </c>
      <c r="O140" s="843">
        <f t="shared" ref="O140:Q142" si="99">IFERROR($D140*O161/100, 0)</f>
        <v>0</v>
      </c>
      <c r="P140" s="846">
        <f t="shared" si="99"/>
        <v>0</v>
      </c>
      <c r="Q140" s="841">
        <f t="shared" si="99"/>
        <v>0</v>
      </c>
      <c r="R140" s="129" t="s">
        <v>1437</v>
      </c>
    </row>
    <row r="141" spans="1:21">
      <c r="A141" s="618"/>
      <c r="B141" s="681" t="s">
        <v>502</v>
      </c>
      <c r="C141" s="697" t="s">
        <v>47</v>
      </c>
      <c r="D141" s="861">
        <v>1.2266091666666665</v>
      </c>
      <c r="E141" s="841">
        <f>SUM(F141:H141)</f>
        <v>0.38521520759975758</v>
      </c>
      <c r="F141" s="842">
        <f t="shared" si="97"/>
        <v>5.7273875471126071E-2</v>
      </c>
      <c r="G141" s="843">
        <f t="shared" si="97"/>
        <v>4.4792447879348558E-2</v>
      </c>
      <c r="H141" s="844">
        <f t="shared" si="97"/>
        <v>0.28314888424928297</v>
      </c>
      <c r="I141" s="841">
        <f t="shared" si="74"/>
        <v>0.718912131459577</v>
      </c>
      <c r="J141" s="842">
        <f t="shared" si="98"/>
        <v>0.34214438535331032</v>
      </c>
      <c r="K141" s="843">
        <f t="shared" si="98"/>
        <v>0.26306972282565982</v>
      </c>
      <c r="L141" s="844">
        <f t="shared" si="98"/>
        <v>0.11369802328060688</v>
      </c>
      <c r="M141" s="841">
        <f t="shared" si="98"/>
        <v>5.711125757720445E-2</v>
      </c>
      <c r="N141" s="845">
        <f t="shared" si="70"/>
        <v>5.3766935026150486E-2</v>
      </c>
      <c r="O141" s="843">
        <f t="shared" si="99"/>
        <v>5.3766935026150486E-2</v>
      </c>
      <c r="P141" s="846">
        <f t="shared" si="99"/>
        <v>0</v>
      </c>
      <c r="Q141" s="841">
        <f t="shared" si="99"/>
        <v>1.1603635003976926E-2</v>
      </c>
      <c r="R141" s="129" t="s">
        <v>1419</v>
      </c>
    </row>
    <row r="142" spans="1:21" ht="15" thickBot="1">
      <c r="A142" s="618"/>
      <c r="B142" s="780" t="s">
        <v>503</v>
      </c>
      <c r="C142" s="699" t="s">
        <v>1434</v>
      </c>
      <c r="D142" s="840">
        <v>0</v>
      </c>
      <c r="E142" s="841">
        <f>SUM(F142:H142)</f>
        <v>0</v>
      </c>
      <c r="F142" s="842">
        <f t="shared" si="97"/>
        <v>0</v>
      </c>
      <c r="G142" s="843">
        <f t="shared" si="97"/>
        <v>0</v>
      </c>
      <c r="H142" s="844">
        <f t="shared" si="97"/>
        <v>0</v>
      </c>
      <c r="I142" s="841">
        <f t="shared" si="74"/>
        <v>0</v>
      </c>
      <c r="J142" s="842">
        <f t="shared" si="98"/>
        <v>0</v>
      </c>
      <c r="K142" s="843">
        <f t="shared" si="98"/>
        <v>0</v>
      </c>
      <c r="L142" s="844">
        <f t="shared" si="98"/>
        <v>0</v>
      </c>
      <c r="M142" s="841">
        <f t="shared" si="98"/>
        <v>0</v>
      </c>
      <c r="N142" s="845">
        <f t="shared" si="70"/>
        <v>0</v>
      </c>
      <c r="O142" s="843">
        <f t="shared" si="99"/>
        <v>0</v>
      </c>
      <c r="P142" s="846">
        <f t="shared" si="99"/>
        <v>0</v>
      </c>
      <c r="Q142" s="841">
        <f t="shared" si="99"/>
        <v>0</v>
      </c>
      <c r="R142" s="129" t="s">
        <v>1421</v>
      </c>
    </row>
    <row r="143" spans="1:21" ht="65.5" thickBot="1">
      <c r="A143" s="618"/>
      <c r="B143" s="622" t="s">
        <v>191</v>
      </c>
      <c r="C143" s="781" t="s">
        <v>670</v>
      </c>
      <c r="D143" s="624" t="s">
        <v>238</v>
      </c>
      <c r="E143" s="625" t="s">
        <v>239</v>
      </c>
      <c r="F143" s="626" t="s">
        <v>240</v>
      </c>
      <c r="G143" s="627" t="s">
        <v>241</v>
      </c>
      <c r="H143" s="628" t="s">
        <v>242</v>
      </c>
      <c r="I143" s="625" t="s">
        <v>243</v>
      </c>
      <c r="J143" s="626" t="s">
        <v>244</v>
      </c>
      <c r="K143" s="627" t="s">
        <v>245</v>
      </c>
      <c r="L143" s="782" t="s">
        <v>246</v>
      </c>
      <c r="M143" s="625" t="s">
        <v>247</v>
      </c>
      <c r="N143" s="629" t="s">
        <v>248</v>
      </c>
      <c r="O143" s="631" t="s">
        <v>590</v>
      </c>
      <c r="P143" s="783" t="s">
        <v>250</v>
      </c>
      <c r="Q143" s="633" t="s">
        <v>251</v>
      </c>
    </row>
    <row r="144" spans="1:21" s="128" customFormat="1">
      <c r="A144" s="618"/>
      <c r="B144" s="784" t="s">
        <v>193</v>
      </c>
      <c r="C144" s="785" t="s">
        <v>671</v>
      </c>
      <c r="D144" s="786">
        <f t="shared" ref="D144:D164" si="100">O144+E144+I144+M144+P144+Q144</f>
        <v>99.999999999999986</v>
      </c>
      <c r="E144" s="787">
        <f t="shared" ref="E144:E164" si="101">SUM(F144:H144)</f>
        <v>31.40488576704405</v>
      </c>
      <c r="F144" s="788">
        <f>'4'!F$242</f>
        <v>4.6692848078715166</v>
      </c>
      <c r="G144" s="789">
        <f>'4'!G$242</f>
        <v>3.6517294258506867</v>
      </c>
      <c r="H144" s="790">
        <f>'4'!H$242</f>
        <v>23.083871533321847</v>
      </c>
      <c r="I144" s="787">
        <f t="shared" ref="I144:I164" si="102">SUM(J144:L144)</f>
        <v>58.609714568922897</v>
      </c>
      <c r="J144" s="788">
        <f>'4'!J$242</f>
        <v>27.893512836129712</v>
      </c>
      <c r="K144" s="789">
        <f>'4'!K$242</f>
        <v>21.446906641058028</v>
      </c>
      <c r="L144" s="790">
        <f>'4'!L$242</f>
        <v>9.2692950917351613</v>
      </c>
      <c r="M144" s="791">
        <f>'4'!M$242</f>
        <v>4.6560272928992825</v>
      </c>
      <c r="N144" s="792">
        <f t="shared" ref="N144:N164" si="103">O144+P144</f>
        <v>4.3833795219599692</v>
      </c>
      <c r="O144" s="789">
        <f>'4'!O$242</f>
        <v>4.3833795219599692</v>
      </c>
      <c r="P144" s="793">
        <f>'4'!P$242</f>
        <v>0</v>
      </c>
      <c r="Q144" s="791">
        <f>'4'!Q$242</f>
        <v>0.94599284917379367</v>
      </c>
      <c r="R144" s="129"/>
      <c r="S144" s="129"/>
      <c r="T144" s="129"/>
      <c r="U144" s="129"/>
    </row>
    <row r="145" spans="1:21" s="128" customFormat="1">
      <c r="A145" s="618"/>
      <c r="B145" s="795" t="s">
        <v>195</v>
      </c>
      <c r="C145" s="796" t="s">
        <v>672</v>
      </c>
      <c r="D145" s="797">
        <f t="shared" si="100"/>
        <v>99.999999999999986</v>
      </c>
      <c r="E145" s="798">
        <f t="shared" si="101"/>
        <v>31.40488576704405</v>
      </c>
      <c r="F145" s="799">
        <f>'4'!F$242</f>
        <v>4.6692848078715166</v>
      </c>
      <c r="G145" s="800">
        <f>'4'!G$242</f>
        <v>3.6517294258506867</v>
      </c>
      <c r="H145" s="801">
        <f>'4'!H$242</f>
        <v>23.083871533321847</v>
      </c>
      <c r="I145" s="798">
        <f t="shared" si="102"/>
        <v>58.609714568922897</v>
      </c>
      <c r="J145" s="799">
        <f>'4'!J$242</f>
        <v>27.893512836129712</v>
      </c>
      <c r="K145" s="800">
        <f>'4'!K$242</f>
        <v>21.446906641058028</v>
      </c>
      <c r="L145" s="801">
        <f>'4'!L$242</f>
        <v>9.2692950917351613</v>
      </c>
      <c r="M145" s="802">
        <f>'4'!M$242</f>
        <v>4.6560272928992825</v>
      </c>
      <c r="N145" s="792">
        <f t="shared" si="103"/>
        <v>4.3833795219599692</v>
      </c>
      <c r="O145" s="800">
        <f>'4'!O$242</f>
        <v>4.3833795219599692</v>
      </c>
      <c r="P145" s="803">
        <f>'4'!P$242</f>
        <v>0</v>
      </c>
      <c r="Q145" s="802">
        <f>'4'!Q$242</f>
        <v>0.94599284917379367</v>
      </c>
      <c r="R145" s="129"/>
      <c r="S145" s="129"/>
      <c r="T145" s="129"/>
      <c r="U145" s="129"/>
    </row>
    <row r="146" spans="1:21" s="128" customFormat="1">
      <c r="A146" s="618"/>
      <c r="B146" s="795" t="s">
        <v>203</v>
      </c>
      <c r="C146" s="796" t="s">
        <v>673</v>
      </c>
      <c r="D146" s="797">
        <f t="shared" si="100"/>
        <v>99.999999999999986</v>
      </c>
      <c r="E146" s="798">
        <f t="shared" si="101"/>
        <v>31.40488576704405</v>
      </c>
      <c r="F146" s="799">
        <f>'4'!F$242</f>
        <v>4.6692848078715166</v>
      </c>
      <c r="G146" s="800">
        <f>'4'!G$242</f>
        <v>3.6517294258506867</v>
      </c>
      <c r="H146" s="801">
        <f>'4'!H$242</f>
        <v>23.083871533321847</v>
      </c>
      <c r="I146" s="798">
        <f t="shared" si="102"/>
        <v>58.609714568922897</v>
      </c>
      <c r="J146" s="799">
        <f>'4'!J$242</f>
        <v>27.893512836129712</v>
      </c>
      <c r="K146" s="800">
        <f>'4'!K$242</f>
        <v>21.446906641058028</v>
      </c>
      <c r="L146" s="801">
        <f>'4'!L$242</f>
        <v>9.2692950917351613</v>
      </c>
      <c r="M146" s="802">
        <f>'4'!M$242</f>
        <v>4.6560272928992825</v>
      </c>
      <c r="N146" s="792">
        <f t="shared" si="103"/>
        <v>4.3833795219599692</v>
      </c>
      <c r="O146" s="800">
        <f>'4'!O$242</f>
        <v>4.3833795219599692</v>
      </c>
      <c r="P146" s="803">
        <f>'4'!P$242</f>
        <v>0</v>
      </c>
      <c r="Q146" s="802">
        <f>'4'!Q$242</f>
        <v>0.94599284917379367</v>
      </c>
      <c r="R146" s="129"/>
      <c r="S146" s="129"/>
      <c r="T146" s="129"/>
      <c r="U146" s="129"/>
    </row>
    <row r="147" spans="1:21" s="128" customFormat="1">
      <c r="A147" s="618"/>
      <c r="B147" s="805" t="s">
        <v>674</v>
      </c>
      <c r="C147" s="796" t="s">
        <v>675</v>
      </c>
      <c r="D147" s="797">
        <f t="shared" si="100"/>
        <v>99.999999999999986</v>
      </c>
      <c r="E147" s="798">
        <f t="shared" si="101"/>
        <v>31.40488576704405</v>
      </c>
      <c r="F147" s="799">
        <f>'4'!F$242</f>
        <v>4.6692848078715166</v>
      </c>
      <c r="G147" s="800">
        <f>'4'!G$242</f>
        <v>3.6517294258506867</v>
      </c>
      <c r="H147" s="801">
        <f>'4'!H$242</f>
        <v>23.083871533321847</v>
      </c>
      <c r="I147" s="798">
        <f t="shared" si="102"/>
        <v>58.609714568922897</v>
      </c>
      <c r="J147" s="799">
        <f>'4'!J$242</f>
        <v>27.893512836129712</v>
      </c>
      <c r="K147" s="800">
        <f>'4'!K$242</f>
        <v>21.446906641058028</v>
      </c>
      <c r="L147" s="801">
        <f>'4'!L$242</f>
        <v>9.2692950917351613</v>
      </c>
      <c r="M147" s="802">
        <f>'4'!M$242</f>
        <v>4.6560272928992825</v>
      </c>
      <c r="N147" s="792">
        <f t="shared" si="103"/>
        <v>4.3833795219599692</v>
      </c>
      <c r="O147" s="800">
        <f>'4'!O$242</f>
        <v>4.3833795219599692</v>
      </c>
      <c r="P147" s="803">
        <f>'4'!P$242</f>
        <v>0</v>
      </c>
      <c r="Q147" s="802">
        <f>'4'!Q$242</f>
        <v>0.94599284917379367</v>
      </c>
      <c r="R147" s="129"/>
      <c r="S147" s="129"/>
      <c r="T147" s="129"/>
      <c r="U147" s="129"/>
    </row>
    <row r="148" spans="1:21" s="128" customFormat="1">
      <c r="A148" s="618"/>
      <c r="B148" s="795" t="s">
        <v>676</v>
      </c>
      <c r="C148" s="796" t="s">
        <v>677</v>
      </c>
      <c r="D148" s="797">
        <f t="shared" si="100"/>
        <v>99.999999999999986</v>
      </c>
      <c r="E148" s="798">
        <f t="shared" si="101"/>
        <v>31.40488576704405</v>
      </c>
      <c r="F148" s="799">
        <f>'4'!F$242</f>
        <v>4.6692848078715166</v>
      </c>
      <c r="G148" s="800">
        <f>'4'!G$242</f>
        <v>3.6517294258506867</v>
      </c>
      <c r="H148" s="801">
        <f>'4'!H$242</f>
        <v>23.083871533321847</v>
      </c>
      <c r="I148" s="798">
        <f t="shared" si="102"/>
        <v>58.609714568922897</v>
      </c>
      <c r="J148" s="799">
        <f>'4'!J$242</f>
        <v>27.893512836129712</v>
      </c>
      <c r="K148" s="800">
        <f>'4'!K$242</f>
        <v>21.446906641058028</v>
      </c>
      <c r="L148" s="801">
        <f>'4'!L$242</f>
        <v>9.2692950917351613</v>
      </c>
      <c r="M148" s="802">
        <f>'4'!M$242</f>
        <v>4.6560272928992825</v>
      </c>
      <c r="N148" s="792">
        <f t="shared" si="103"/>
        <v>4.3833795219599692</v>
      </c>
      <c r="O148" s="800">
        <f>'4'!O$242</f>
        <v>4.3833795219599692</v>
      </c>
      <c r="P148" s="803">
        <f>'4'!P$242</f>
        <v>0</v>
      </c>
      <c r="Q148" s="802">
        <f>'4'!Q$242</f>
        <v>0.94599284917379367</v>
      </c>
      <c r="R148" s="129"/>
      <c r="S148" s="129"/>
      <c r="T148" s="129"/>
      <c r="U148" s="129"/>
    </row>
    <row r="149" spans="1:21" s="128" customFormat="1">
      <c r="A149" s="618"/>
      <c r="B149" s="795" t="s">
        <v>678</v>
      </c>
      <c r="C149" s="796" t="s">
        <v>679</v>
      </c>
      <c r="D149" s="797">
        <f t="shared" si="100"/>
        <v>99.999999999999986</v>
      </c>
      <c r="E149" s="798">
        <f t="shared" si="101"/>
        <v>31.40488576704405</v>
      </c>
      <c r="F149" s="799">
        <f>'4'!F$242</f>
        <v>4.6692848078715166</v>
      </c>
      <c r="G149" s="800">
        <f>'4'!G$242</f>
        <v>3.6517294258506867</v>
      </c>
      <c r="H149" s="801">
        <f>'4'!H$242</f>
        <v>23.083871533321847</v>
      </c>
      <c r="I149" s="798">
        <f t="shared" si="102"/>
        <v>58.609714568922897</v>
      </c>
      <c r="J149" s="799">
        <f>'4'!J$242</f>
        <v>27.893512836129712</v>
      </c>
      <c r="K149" s="800">
        <f>'4'!K$242</f>
        <v>21.446906641058028</v>
      </c>
      <c r="L149" s="801">
        <f>'4'!L$242</f>
        <v>9.2692950917351613</v>
      </c>
      <c r="M149" s="802">
        <f>'4'!M$242</f>
        <v>4.6560272928992825</v>
      </c>
      <c r="N149" s="792">
        <f t="shared" si="103"/>
        <v>4.3833795219599692</v>
      </c>
      <c r="O149" s="800">
        <f>'4'!O$242</f>
        <v>4.3833795219599692</v>
      </c>
      <c r="P149" s="803">
        <f>'4'!P$242</f>
        <v>0</v>
      </c>
      <c r="Q149" s="802">
        <f>'4'!Q$242</f>
        <v>0.94599284917379367</v>
      </c>
      <c r="R149" s="129"/>
      <c r="S149" s="129"/>
      <c r="T149" s="129"/>
      <c r="U149" s="129"/>
    </row>
    <row r="150" spans="1:21" s="128" customFormat="1">
      <c r="A150" s="618"/>
      <c r="B150" s="795" t="s">
        <v>680</v>
      </c>
      <c r="C150" s="796" t="s">
        <v>681</v>
      </c>
      <c r="D150" s="797">
        <f t="shared" si="100"/>
        <v>99.999999999999986</v>
      </c>
      <c r="E150" s="798">
        <f t="shared" si="101"/>
        <v>31.40488576704405</v>
      </c>
      <c r="F150" s="799">
        <f>'4'!F$242</f>
        <v>4.6692848078715166</v>
      </c>
      <c r="G150" s="800">
        <f>'4'!G$242</f>
        <v>3.6517294258506867</v>
      </c>
      <c r="H150" s="801">
        <f>'4'!H$242</f>
        <v>23.083871533321847</v>
      </c>
      <c r="I150" s="798">
        <f t="shared" si="102"/>
        <v>58.609714568922897</v>
      </c>
      <c r="J150" s="799">
        <f>'4'!J$242</f>
        <v>27.893512836129712</v>
      </c>
      <c r="K150" s="800">
        <f>'4'!K$242</f>
        <v>21.446906641058028</v>
      </c>
      <c r="L150" s="801">
        <f>'4'!L$242</f>
        <v>9.2692950917351613</v>
      </c>
      <c r="M150" s="802">
        <f>'4'!M$242</f>
        <v>4.6560272928992825</v>
      </c>
      <c r="N150" s="792">
        <f t="shared" si="103"/>
        <v>4.3833795219599692</v>
      </c>
      <c r="O150" s="800">
        <f>'4'!O$242</f>
        <v>4.3833795219599692</v>
      </c>
      <c r="P150" s="803">
        <f>'4'!P$242</f>
        <v>0</v>
      </c>
      <c r="Q150" s="802">
        <f>'4'!Q$242</f>
        <v>0.94599284917379367</v>
      </c>
      <c r="R150" s="129"/>
      <c r="S150" s="129"/>
      <c r="T150" s="129"/>
      <c r="U150" s="129"/>
    </row>
    <row r="151" spans="1:21" s="128" customFormat="1">
      <c r="A151" s="618"/>
      <c r="B151" s="795" t="s">
        <v>682</v>
      </c>
      <c r="C151" s="796" t="s">
        <v>683</v>
      </c>
      <c r="D151" s="797">
        <f t="shared" si="100"/>
        <v>99.999999999999986</v>
      </c>
      <c r="E151" s="798">
        <f t="shared" si="101"/>
        <v>31.40488576704405</v>
      </c>
      <c r="F151" s="799">
        <f>'4'!F$242</f>
        <v>4.6692848078715166</v>
      </c>
      <c r="G151" s="800">
        <f>'4'!G$242</f>
        <v>3.6517294258506867</v>
      </c>
      <c r="H151" s="801">
        <f>'4'!H$242</f>
        <v>23.083871533321847</v>
      </c>
      <c r="I151" s="798">
        <f t="shared" si="102"/>
        <v>58.609714568922897</v>
      </c>
      <c r="J151" s="799">
        <f>'4'!J$242</f>
        <v>27.893512836129712</v>
      </c>
      <c r="K151" s="800">
        <f>'4'!K$242</f>
        <v>21.446906641058028</v>
      </c>
      <c r="L151" s="801">
        <f>'4'!L$242</f>
        <v>9.2692950917351613</v>
      </c>
      <c r="M151" s="802">
        <f>'4'!M$242</f>
        <v>4.6560272928992825</v>
      </c>
      <c r="N151" s="792">
        <f t="shared" si="103"/>
        <v>4.3833795219599692</v>
      </c>
      <c r="O151" s="800">
        <f>'4'!O$242</f>
        <v>4.3833795219599692</v>
      </c>
      <c r="P151" s="803">
        <f>'4'!P$242</f>
        <v>0</v>
      </c>
      <c r="Q151" s="802">
        <f>'4'!Q$242</f>
        <v>0.94599284917379367</v>
      </c>
      <c r="R151" s="129"/>
      <c r="S151" s="129"/>
      <c r="T151" s="129"/>
      <c r="U151" s="129"/>
    </row>
    <row r="152" spans="1:21" s="128" customFormat="1">
      <c r="A152" s="618"/>
      <c r="B152" s="795" t="s">
        <v>684</v>
      </c>
      <c r="C152" s="796" t="s">
        <v>685</v>
      </c>
      <c r="D152" s="797">
        <f t="shared" si="100"/>
        <v>99.999999999999986</v>
      </c>
      <c r="E152" s="798">
        <f t="shared" si="101"/>
        <v>31.40488576704405</v>
      </c>
      <c r="F152" s="799">
        <f>'4'!F$242</f>
        <v>4.6692848078715166</v>
      </c>
      <c r="G152" s="800">
        <f>'4'!G$242</f>
        <v>3.6517294258506867</v>
      </c>
      <c r="H152" s="801">
        <f>'4'!H$242</f>
        <v>23.083871533321847</v>
      </c>
      <c r="I152" s="798">
        <f t="shared" si="102"/>
        <v>58.609714568922897</v>
      </c>
      <c r="J152" s="799">
        <f>'4'!J$242</f>
        <v>27.893512836129712</v>
      </c>
      <c r="K152" s="800">
        <f>'4'!K$242</f>
        <v>21.446906641058028</v>
      </c>
      <c r="L152" s="801">
        <f>'4'!L$242</f>
        <v>9.2692950917351613</v>
      </c>
      <c r="M152" s="802">
        <f>'4'!M$242</f>
        <v>4.6560272928992825</v>
      </c>
      <c r="N152" s="792">
        <f t="shared" si="103"/>
        <v>4.3833795219599692</v>
      </c>
      <c r="O152" s="800">
        <f>'4'!O$242</f>
        <v>4.3833795219599692</v>
      </c>
      <c r="P152" s="803">
        <f>'4'!P$242</f>
        <v>0</v>
      </c>
      <c r="Q152" s="802">
        <f>'4'!Q$242</f>
        <v>0.94599284917379367</v>
      </c>
      <c r="R152" s="129"/>
      <c r="S152" s="129"/>
      <c r="T152" s="129"/>
      <c r="U152" s="129"/>
    </row>
    <row r="153" spans="1:21" s="128" customFormat="1">
      <c r="A153" s="618"/>
      <c r="B153" s="805" t="s">
        <v>686</v>
      </c>
      <c r="C153" s="796" t="s">
        <v>687</v>
      </c>
      <c r="D153" s="797">
        <f t="shared" si="100"/>
        <v>99.999999999999986</v>
      </c>
      <c r="E153" s="798">
        <f t="shared" si="101"/>
        <v>31.40488576704405</v>
      </c>
      <c r="F153" s="799">
        <f>'4'!F$242</f>
        <v>4.6692848078715166</v>
      </c>
      <c r="G153" s="800">
        <f>'4'!G$242</f>
        <v>3.6517294258506867</v>
      </c>
      <c r="H153" s="801">
        <f>'4'!H$242</f>
        <v>23.083871533321847</v>
      </c>
      <c r="I153" s="798">
        <f t="shared" si="102"/>
        <v>58.609714568922897</v>
      </c>
      <c r="J153" s="799">
        <f>'4'!J$242</f>
        <v>27.893512836129712</v>
      </c>
      <c r="K153" s="800">
        <f>'4'!K$242</f>
        <v>21.446906641058028</v>
      </c>
      <c r="L153" s="801">
        <f>'4'!L$242</f>
        <v>9.2692950917351613</v>
      </c>
      <c r="M153" s="802">
        <f>'4'!M$242</f>
        <v>4.6560272928992825</v>
      </c>
      <c r="N153" s="792">
        <f t="shared" si="103"/>
        <v>4.3833795219599692</v>
      </c>
      <c r="O153" s="800">
        <f>'4'!O$242</f>
        <v>4.3833795219599692</v>
      </c>
      <c r="P153" s="803">
        <f>'4'!P$242</f>
        <v>0</v>
      </c>
      <c r="Q153" s="802">
        <f>'4'!Q$242</f>
        <v>0.94599284917379367</v>
      </c>
      <c r="R153" s="129"/>
      <c r="S153" s="129"/>
      <c r="T153" s="129"/>
      <c r="U153" s="129"/>
    </row>
    <row r="154" spans="1:21" s="128" customFormat="1">
      <c r="A154" s="618"/>
      <c r="B154" s="805" t="s">
        <v>688</v>
      </c>
      <c r="C154" s="796" t="s">
        <v>689</v>
      </c>
      <c r="D154" s="797">
        <f t="shared" si="100"/>
        <v>99.999999999999986</v>
      </c>
      <c r="E154" s="798">
        <f t="shared" si="101"/>
        <v>31.40488576704405</v>
      </c>
      <c r="F154" s="799">
        <f>'4'!F$242</f>
        <v>4.6692848078715166</v>
      </c>
      <c r="G154" s="800">
        <f>'4'!G$242</f>
        <v>3.6517294258506867</v>
      </c>
      <c r="H154" s="801">
        <f>'4'!H$242</f>
        <v>23.083871533321847</v>
      </c>
      <c r="I154" s="798">
        <f t="shared" si="102"/>
        <v>58.609714568922897</v>
      </c>
      <c r="J154" s="799">
        <f>'4'!J$242</f>
        <v>27.893512836129712</v>
      </c>
      <c r="K154" s="800">
        <f>'4'!K$242</f>
        <v>21.446906641058028</v>
      </c>
      <c r="L154" s="801">
        <f>'4'!L$242</f>
        <v>9.2692950917351613</v>
      </c>
      <c r="M154" s="802">
        <f>'4'!M$242</f>
        <v>4.6560272928992825</v>
      </c>
      <c r="N154" s="792">
        <f t="shared" si="103"/>
        <v>4.3833795219599692</v>
      </c>
      <c r="O154" s="800">
        <f>'4'!O$242</f>
        <v>4.3833795219599692</v>
      </c>
      <c r="P154" s="803">
        <f>'4'!P$242</f>
        <v>0</v>
      </c>
      <c r="Q154" s="802">
        <f>'4'!Q$242</f>
        <v>0.94599284917379367</v>
      </c>
      <c r="R154" s="129"/>
      <c r="S154" s="129"/>
      <c r="T154" s="129"/>
      <c r="U154" s="129"/>
    </row>
    <row r="155" spans="1:21" s="128" customFormat="1">
      <c r="A155" s="618"/>
      <c r="B155" s="805" t="s">
        <v>690</v>
      </c>
      <c r="C155" s="796" t="s">
        <v>691</v>
      </c>
      <c r="D155" s="797">
        <f t="shared" si="100"/>
        <v>99.999999999999986</v>
      </c>
      <c r="E155" s="798">
        <f t="shared" si="101"/>
        <v>31.40488576704405</v>
      </c>
      <c r="F155" s="799">
        <f>'4'!F$242</f>
        <v>4.6692848078715166</v>
      </c>
      <c r="G155" s="800">
        <f>'4'!G$242</f>
        <v>3.6517294258506867</v>
      </c>
      <c r="H155" s="801">
        <f>'4'!H$242</f>
        <v>23.083871533321847</v>
      </c>
      <c r="I155" s="798">
        <f t="shared" si="102"/>
        <v>58.609714568922897</v>
      </c>
      <c r="J155" s="799">
        <f>'4'!J$242</f>
        <v>27.893512836129712</v>
      </c>
      <c r="K155" s="800">
        <f>'4'!K$242</f>
        <v>21.446906641058028</v>
      </c>
      <c r="L155" s="801">
        <f>'4'!L$242</f>
        <v>9.2692950917351613</v>
      </c>
      <c r="M155" s="802">
        <f>'4'!M$242</f>
        <v>4.6560272928992825</v>
      </c>
      <c r="N155" s="792">
        <f t="shared" si="103"/>
        <v>4.3833795219599692</v>
      </c>
      <c r="O155" s="800">
        <f>'4'!O$242</f>
        <v>4.3833795219599692</v>
      </c>
      <c r="P155" s="803">
        <f>'4'!P$242</f>
        <v>0</v>
      </c>
      <c r="Q155" s="802">
        <f>'4'!Q$242</f>
        <v>0.94599284917379367</v>
      </c>
      <c r="R155" s="129"/>
      <c r="S155" s="129"/>
      <c r="T155" s="129"/>
      <c r="U155" s="129"/>
    </row>
    <row r="156" spans="1:21" s="128" customFormat="1">
      <c r="A156" s="618"/>
      <c r="B156" s="805" t="s">
        <v>692</v>
      </c>
      <c r="C156" s="796" t="s">
        <v>693</v>
      </c>
      <c r="D156" s="797">
        <f t="shared" si="100"/>
        <v>99.999999999999986</v>
      </c>
      <c r="E156" s="798">
        <f t="shared" si="101"/>
        <v>31.40488576704405</v>
      </c>
      <c r="F156" s="799">
        <f>'4'!F$242</f>
        <v>4.6692848078715166</v>
      </c>
      <c r="G156" s="800">
        <f>'4'!G$242</f>
        <v>3.6517294258506867</v>
      </c>
      <c r="H156" s="801">
        <f>'4'!H$242</f>
        <v>23.083871533321847</v>
      </c>
      <c r="I156" s="798">
        <f t="shared" si="102"/>
        <v>58.609714568922897</v>
      </c>
      <c r="J156" s="799">
        <f>'4'!J$242</f>
        <v>27.893512836129712</v>
      </c>
      <c r="K156" s="800">
        <f>'4'!K$242</f>
        <v>21.446906641058028</v>
      </c>
      <c r="L156" s="801">
        <f>'4'!L$242</f>
        <v>9.2692950917351613</v>
      </c>
      <c r="M156" s="802">
        <f>'4'!M$242</f>
        <v>4.6560272928992825</v>
      </c>
      <c r="N156" s="792">
        <f t="shared" si="103"/>
        <v>4.3833795219599692</v>
      </c>
      <c r="O156" s="800">
        <f>'4'!O$242</f>
        <v>4.3833795219599692</v>
      </c>
      <c r="P156" s="803">
        <f>'4'!P$242</f>
        <v>0</v>
      </c>
      <c r="Q156" s="802">
        <f>'4'!Q$242</f>
        <v>0.94599284917379367</v>
      </c>
      <c r="R156" s="129"/>
      <c r="S156" s="129"/>
      <c r="T156" s="129"/>
      <c r="U156" s="129"/>
    </row>
    <row r="157" spans="1:21" s="128" customFormat="1">
      <c r="A157" s="618"/>
      <c r="B157" s="805" t="s">
        <v>694</v>
      </c>
      <c r="C157" s="796" t="s">
        <v>695</v>
      </c>
      <c r="D157" s="797">
        <f t="shared" si="100"/>
        <v>99.999999999999986</v>
      </c>
      <c r="E157" s="798">
        <f t="shared" si="101"/>
        <v>31.40488576704405</v>
      </c>
      <c r="F157" s="799">
        <f>'4'!F$242</f>
        <v>4.6692848078715166</v>
      </c>
      <c r="G157" s="800">
        <f>'4'!G$242</f>
        <v>3.6517294258506867</v>
      </c>
      <c r="H157" s="801">
        <f>'4'!H$242</f>
        <v>23.083871533321847</v>
      </c>
      <c r="I157" s="798">
        <f t="shared" si="102"/>
        <v>58.609714568922897</v>
      </c>
      <c r="J157" s="799">
        <f>'4'!J$242</f>
        <v>27.893512836129712</v>
      </c>
      <c r="K157" s="800">
        <f>'4'!K$242</f>
        <v>21.446906641058028</v>
      </c>
      <c r="L157" s="801">
        <f>'4'!L$242</f>
        <v>9.2692950917351613</v>
      </c>
      <c r="M157" s="802">
        <f>'4'!M$242</f>
        <v>4.6560272928992825</v>
      </c>
      <c r="N157" s="792">
        <f t="shared" si="103"/>
        <v>4.3833795219599692</v>
      </c>
      <c r="O157" s="800">
        <f>'4'!O$242</f>
        <v>4.3833795219599692</v>
      </c>
      <c r="P157" s="803">
        <f>'4'!P$242</f>
        <v>0</v>
      </c>
      <c r="Q157" s="802">
        <f>'4'!Q$242</f>
        <v>0.94599284917379367</v>
      </c>
      <c r="R157" s="129"/>
      <c r="S157" s="129"/>
      <c r="T157" s="129"/>
      <c r="U157" s="129"/>
    </row>
    <row r="158" spans="1:21" s="128" customFormat="1">
      <c r="A158" s="618"/>
      <c r="B158" s="805" t="s">
        <v>696</v>
      </c>
      <c r="C158" s="796" t="s">
        <v>697</v>
      </c>
      <c r="D158" s="797">
        <f t="shared" si="100"/>
        <v>99.999999999999986</v>
      </c>
      <c r="E158" s="798">
        <f t="shared" si="101"/>
        <v>31.40488576704405</v>
      </c>
      <c r="F158" s="799">
        <f>'4'!F$242</f>
        <v>4.6692848078715166</v>
      </c>
      <c r="G158" s="800">
        <f>'4'!G$242</f>
        <v>3.6517294258506867</v>
      </c>
      <c r="H158" s="801">
        <f>'4'!H$242</f>
        <v>23.083871533321847</v>
      </c>
      <c r="I158" s="798">
        <f t="shared" si="102"/>
        <v>58.609714568922897</v>
      </c>
      <c r="J158" s="799">
        <f>'4'!J$242</f>
        <v>27.893512836129712</v>
      </c>
      <c r="K158" s="800">
        <f>'4'!K$242</f>
        <v>21.446906641058028</v>
      </c>
      <c r="L158" s="801">
        <f>'4'!L$242</f>
        <v>9.2692950917351613</v>
      </c>
      <c r="M158" s="802">
        <f>'4'!M$242</f>
        <v>4.6560272928992825</v>
      </c>
      <c r="N158" s="792">
        <f t="shared" si="103"/>
        <v>4.3833795219599692</v>
      </c>
      <c r="O158" s="800">
        <f>'4'!O$242</f>
        <v>4.3833795219599692</v>
      </c>
      <c r="P158" s="803">
        <f>'4'!P$242</f>
        <v>0</v>
      </c>
      <c r="Q158" s="802">
        <f>'4'!Q$242</f>
        <v>0.94599284917379367</v>
      </c>
      <c r="R158" s="129"/>
      <c r="S158" s="129"/>
      <c r="T158" s="129"/>
      <c r="U158" s="129"/>
    </row>
    <row r="159" spans="1:21" s="128" customFormat="1">
      <c r="A159" s="618"/>
      <c r="B159" s="805" t="s">
        <v>698</v>
      </c>
      <c r="C159" s="796" t="s">
        <v>699</v>
      </c>
      <c r="D159" s="797">
        <f t="shared" si="100"/>
        <v>99.999999999999986</v>
      </c>
      <c r="E159" s="798">
        <f t="shared" si="101"/>
        <v>31.40488576704405</v>
      </c>
      <c r="F159" s="799">
        <f>'4'!F$242</f>
        <v>4.6692848078715166</v>
      </c>
      <c r="G159" s="800">
        <f>'4'!G$242</f>
        <v>3.6517294258506867</v>
      </c>
      <c r="H159" s="801">
        <f>'4'!H$242</f>
        <v>23.083871533321847</v>
      </c>
      <c r="I159" s="798">
        <f t="shared" si="102"/>
        <v>58.609714568922897</v>
      </c>
      <c r="J159" s="799">
        <f>'4'!J$242</f>
        <v>27.893512836129712</v>
      </c>
      <c r="K159" s="800">
        <f>'4'!K$242</f>
        <v>21.446906641058028</v>
      </c>
      <c r="L159" s="801">
        <f>'4'!L$242</f>
        <v>9.2692950917351613</v>
      </c>
      <c r="M159" s="802">
        <f>'4'!M$242</f>
        <v>4.6560272928992825</v>
      </c>
      <c r="N159" s="792">
        <f t="shared" si="103"/>
        <v>4.3833795219599692</v>
      </c>
      <c r="O159" s="800">
        <f>'4'!O$242</f>
        <v>4.3833795219599692</v>
      </c>
      <c r="P159" s="803">
        <f>'4'!P$242</f>
        <v>0</v>
      </c>
      <c r="Q159" s="802">
        <f>'4'!Q$242</f>
        <v>0.94599284917379367</v>
      </c>
      <c r="R159" s="129"/>
      <c r="S159" s="129"/>
      <c r="T159" s="129"/>
      <c r="U159" s="129"/>
    </row>
    <row r="160" spans="1:21" s="128" customFormat="1">
      <c r="A160" s="618"/>
      <c r="B160" s="795" t="s">
        <v>700</v>
      </c>
      <c r="C160" s="796" t="s">
        <v>701</v>
      </c>
      <c r="D160" s="797">
        <f t="shared" si="100"/>
        <v>99.999999999999986</v>
      </c>
      <c r="E160" s="798">
        <f t="shared" si="101"/>
        <v>31.40488576704405</v>
      </c>
      <c r="F160" s="799">
        <f>'4'!F$242</f>
        <v>4.6692848078715166</v>
      </c>
      <c r="G160" s="800">
        <f>'4'!G$242</f>
        <v>3.6517294258506867</v>
      </c>
      <c r="H160" s="801">
        <f>'4'!H$242</f>
        <v>23.083871533321847</v>
      </c>
      <c r="I160" s="798">
        <f t="shared" si="102"/>
        <v>58.609714568922897</v>
      </c>
      <c r="J160" s="799">
        <f>'4'!J$242</f>
        <v>27.893512836129712</v>
      </c>
      <c r="K160" s="800">
        <f>'4'!K$242</f>
        <v>21.446906641058028</v>
      </c>
      <c r="L160" s="801">
        <f>'4'!L$242</f>
        <v>9.2692950917351613</v>
      </c>
      <c r="M160" s="802">
        <f>'4'!M$242</f>
        <v>4.6560272928992825</v>
      </c>
      <c r="N160" s="792">
        <f t="shared" si="103"/>
        <v>4.3833795219599692</v>
      </c>
      <c r="O160" s="800">
        <f>'4'!O$242</f>
        <v>4.3833795219599692</v>
      </c>
      <c r="P160" s="803">
        <f>'4'!P$242</f>
        <v>0</v>
      </c>
      <c r="Q160" s="802">
        <f>'4'!Q$242</f>
        <v>0.94599284917379367</v>
      </c>
      <c r="R160" s="129"/>
      <c r="S160" s="129"/>
      <c r="T160" s="129"/>
      <c r="U160" s="129"/>
    </row>
    <row r="161" spans="1:21" s="128" customFormat="1">
      <c r="A161" s="618"/>
      <c r="B161" s="805" t="s">
        <v>702</v>
      </c>
      <c r="C161" s="796" t="s">
        <v>703</v>
      </c>
      <c r="D161" s="797">
        <f t="shared" si="100"/>
        <v>99.999999999999986</v>
      </c>
      <c r="E161" s="798">
        <f t="shared" si="101"/>
        <v>31.40488576704405</v>
      </c>
      <c r="F161" s="799">
        <f>'4'!F$242</f>
        <v>4.6692848078715166</v>
      </c>
      <c r="G161" s="800">
        <f>'4'!G$242</f>
        <v>3.6517294258506867</v>
      </c>
      <c r="H161" s="801">
        <f>'4'!H$242</f>
        <v>23.083871533321847</v>
      </c>
      <c r="I161" s="798">
        <f t="shared" si="102"/>
        <v>58.609714568922897</v>
      </c>
      <c r="J161" s="799">
        <f>'4'!J$242</f>
        <v>27.893512836129712</v>
      </c>
      <c r="K161" s="800">
        <f>'4'!K$242</f>
        <v>21.446906641058028</v>
      </c>
      <c r="L161" s="801">
        <f>'4'!L$242</f>
        <v>9.2692950917351613</v>
      </c>
      <c r="M161" s="802">
        <f>'4'!M$242</f>
        <v>4.6560272928992825</v>
      </c>
      <c r="N161" s="792">
        <f t="shared" si="103"/>
        <v>4.3833795219599692</v>
      </c>
      <c r="O161" s="800">
        <f>'4'!O$242</f>
        <v>4.3833795219599692</v>
      </c>
      <c r="P161" s="803">
        <f>'4'!P$242</f>
        <v>0</v>
      </c>
      <c r="Q161" s="802">
        <f>'4'!Q$242</f>
        <v>0.94599284917379367</v>
      </c>
      <c r="R161" s="129"/>
      <c r="S161" s="129"/>
      <c r="T161" s="129"/>
      <c r="U161" s="129"/>
    </row>
    <row r="162" spans="1:21" s="128" customFormat="1">
      <c r="A162" s="618"/>
      <c r="B162" s="805" t="s">
        <v>704</v>
      </c>
      <c r="C162" s="806" t="s">
        <v>705</v>
      </c>
      <c r="D162" s="807">
        <f t="shared" si="100"/>
        <v>99.999999999999986</v>
      </c>
      <c r="E162" s="808">
        <f t="shared" si="101"/>
        <v>31.40488576704405</v>
      </c>
      <c r="F162" s="809">
        <f>'4'!F$242</f>
        <v>4.6692848078715166</v>
      </c>
      <c r="G162" s="810">
        <f>'4'!G$242</f>
        <v>3.6517294258506867</v>
      </c>
      <c r="H162" s="811">
        <f>'4'!H$242</f>
        <v>23.083871533321847</v>
      </c>
      <c r="I162" s="808">
        <f t="shared" si="102"/>
        <v>58.609714568922897</v>
      </c>
      <c r="J162" s="809">
        <f>'4'!J$242</f>
        <v>27.893512836129712</v>
      </c>
      <c r="K162" s="810">
        <f>'4'!K$242</f>
        <v>21.446906641058028</v>
      </c>
      <c r="L162" s="811">
        <f>'4'!L$242</f>
        <v>9.2692950917351613</v>
      </c>
      <c r="M162" s="812">
        <f>'4'!M$242</f>
        <v>4.6560272928992825</v>
      </c>
      <c r="N162" s="792">
        <f t="shared" si="103"/>
        <v>4.3833795219599692</v>
      </c>
      <c r="O162" s="810">
        <f>'4'!O$242</f>
        <v>4.3833795219599692</v>
      </c>
      <c r="P162" s="813">
        <f>'4'!P$242</f>
        <v>0</v>
      </c>
      <c r="Q162" s="812">
        <f>'4'!Q$242</f>
        <v>0.94599284917379367</v>
      </c>
      <c r="R162" s="129"/>
      <c r="S162" s="129"/>
      <c r="T162" s="129"/>
      <c r="U162" s="129"/>
    </row>
    <row r="163" spans="1:21" s="128" customFormat="1" ht="15" thickBot="1">
      <c r="A163" s="618"/>
      <c r="B163" s="862" t="s">
        <v>706</v>
      </c>
      <c r="C163" s="863" t="s">
        <v>707</v>
      </c>
      <c r="D163" s="864">
        <f t="shared" si="100"/>
        <v>99.999999999999986</v>
      </c>
      <c r="E163" s="865">
        <f t="shared" si="101"/>
        <v>31.40488576704405</v>
      </c>
      <c r="F163" s="866">
        <f>'4'!F$242</f>
        <v>4.6692848078715166</v>
      </c>
      <c r="G163" s="867">
        <f>'4'!G$242</f>
        <v>3.6517294258506867</v>
      </c>
      <c r="H163" s="868">
        <f>'4'!H$242</f>
        <v>23.083871533321847</v>
      </c>
      <c r="I163" s="865">
        <f t="shared" si="102"/>
        <v>58.609714568922897</v>
      </c>
      <c r="J163" s="866">
        <f>'4'!J$242</f>
        <v>27.893512836129712</v>
      </c>
      <c r="K163" s="867">
        <f>'4'!K$242</f>
        <v>21.446906641058028</v>
      </c>
      <c r="L163" s="868">
        <f>'4'!L$242</f>
        <v>9.2692950917351613</v>
      </c>
      <c r="M163" s="869">
        <f>'4'!M$242</f>
        <v>4.6560272928992825</v>
      </c>
      <c r="N163" s="792">
        <f t="shared" si="103"/>
        <v>4.3833795219599692</v>
      </c>
      <c r="O163" s="867">
        <f>'4'!O$242</f>
        <v>4.3833795219599692</v>
      </c>
      <c r="P163" s="870">
        <f>'4'!P$242</f>
        <v>0</v>
      </c>
      <c r="Q163" s="869">
        <f>'4'!Q$242</f>
        <v>0.94599284917379367</v>
      </c>
      <c r="R163" s="129"/>
      <c r="S163" s="129"/>
      <c r="T163" s="129"/>
      <c r="U163" s="129"/>
    </row>
    <row r="164" spans="1:21" ht="26.5" thickBot="1">
      <c r="A164" s="618"/>
      <c r="B164" s="871" t="s">
        <v>205</v>
      </c>
      <c r="C164" s="872" t="s">
        <v>708</v>
      </c>
      <c r="D164" s="873">
        <f t="shared" si="100"/>
        <v>100.00000000000001</v>
      </c>
      <c r="E164" s="874">
        <f t="shared" si="101"/>
        <v>31.404885767044057</v>
      </c>
      <c r="F164" s="875">
        <f>IFERROR(F116/$D$116*100, 0)</f>
        <v>4.6692848078715175</v>
      </c>
      <c r="G164" s="876">
        <f>IFERROR(G116/$D$116*100, 0)</f>
        <v>3.6517294258506876</v>
      </c>
      <c r="H164" s="877">
        <f>IFERROR(H116/$D$116*100, 0)</f>
        <v>23.083871533321851</v>
      </c>
      <c r="I164" s="874">
        <f t="shared" si="102"/>
        <v>58.609714568922904</v>
      </c>
      <c r="J164" s="875">
        <f t="shared" ref="J164:Q164" si="104">IFERROR(J116/$D$116*100, 0)</f>
        <v>27.893512836129712</v>
      </c>
      <c r="K164" s="876">
        <f t="shared" si="104"/>
        <v>21.446906641058032</v>
      </c>
      <c r="L164" s="877">
        <f t="shared" si="104"/>
        <v>9.2692950917351613</v>
      </c>
      <c r="M164" s="874">
        <f t="shared" si="104"/>
        <v>4.6560272928992834</v>
      </c>
      <c r="N164" s="878">
        <f t="shared" si="103"/>
        <v>4.38337952195997</v>
      </c>
      <c r="O164" s="876">
        <f>IFERROR(O116/$D$116*100, 0)</f>
        <v>4.38337952195997</v>
      </c>
      <c r="P164" s="879">
        <f t="shared" si="104"/>
        <v>0</v>
      </c>
      <c r="Q164" s="874">
        <f t="shared" si="104"/>
        <v>0.94599284917379378</v>
      </c>
    </row>
  </sheetData>
  <pageMargins left="0.7" right="0.7" top="0.75" bottom="0.75" header="0.3" footer="0.3"/>
  <pageSetup paperSize="9" scale="4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6CDFB-7539-4D83-A618-0BE4AE3B1676}">
  <sheetPr>
    <tabColor theme="0" tint="-0.14999847407452621"/>
    <pageSetUpPr fitToPage="1"/>
  </sheetPr>
  <dimension ref="A1:G107"/>
  <sheetViews>
    <sheetView zoomScale="85" zoomScaleNormal="85" workbookViewId="0">
      <selection activeCell="B9" sqref="B9"/>
    </sheetView>
  </sheetViews>
  <sheetFormatPr defaultRowHeight="14.5"/>
  <cols>
    <col min="2" max="2" width="10.453125" customWidth="1"/>
    <col min="3" max="3" width="64.81640625" customWidth="1"/>
    <col min="4" max="4" width="16" customWidth="1"/>
    <col min="5" max="5" width="22.1796875" customWidth="1"/>
    <col min="7" max="7" width="8.54296875" bestFit="1" customWidth="1"/>
  </cols>
  <sheetData>
    <row r="1" spans="1:5">
      <c r="A1" s="587"/>
      <c r="B1" s="587"/>
      <c r="C1" s="587"/>
      <c r="D1" s="587"/>
      <c r="E1" s="587"/>
    </row>
    <row r="2" spans="1:5" ht="69">
      <c r="A2" s="587"/>
      <c r="B2" s="587"/>
      <c r="C2" s="587"/>
      <c r="D2" s="587"/>
      <c r="E2" s="589" t="s">
        <v>711</v>
      </c>
    </row>
    <row r="3" spans="1:5">
      <c r="A3" s="587"/>
      <c r="B3" s="587"/>
      <c r="C3" s="32" t="s">
        <v>1331</v>
      </c>
      <c r="D3" s="587"/>
      <c r="E3" s="587"/>
    </row>
    <row r="4" spans="1:5">
      <c r="A4" s="587"/>
      <c r="B4" s="587"/>
      <c r="C4" s="32" t="s">
        <v>1332</v>
      </c>
      <c r="D4" s="587"/>
      <c r="E4" s="587"/>
    </row>
    <row r="5" spans="1:5">
      <c r="A5" s="587"/>
      <c r="B5" s="587"/>
      <c r="C5" s="587"/>
      <c r="D5" s="587"/>
      <c r="E5" s="587"/>
    </row>
    <row r="6" spans="1:5" ht="30">
      <c r="A6" s="587"/>
      <c r="B6" s="587"/>
      <c r="C6" s="916" t="s">
        <v>712</v>
      </c>
      <c r="D6" s="587"/>
      <c r="E6" s="587"/>
    </row>
    <row r="7" spans="1:5">
      <c r="A7" s="587"/>
      <c r="B7" s="587"/>
      <c r="C7" s="587"/>
      <c r="D7" s="587"/>
      <c r="E7" s="587"/>
    </row>
    <row r="8" spans="1:5" ht="15" thickBot="1">
      <c r="A8" s="587"/>
      <c r="B8" s="587"/>
      <c r="C8" s="587"/>
      <c r="D8" s="587"/>
      <c r="E8" s="587"/>
    </row>
    <row r="9" spans="1:5" ht="15" thickBot="1">
      <c r="A9" s="587"/>
      <c r="B9" s="917" t="s">
        <v>2</v>
      </c>
      <c r="C9" s="918" t="s">
        <v>713</v>
      </c>
      <c r="D9" s="919" t="s">
        <v>714</v>
      </c>
      <c r="E9" s="920" t="s">
        <v>59</v>
      </c>
    </row>
    <row r="10" spans="1:5" ht="15.5" thickTop="1" thickBot="1">
      <c r="A10" s="587"/>
      <c r="B10" s="921"/>
      <c r="C10" s="922" t="s">
        <v>715</v>
      </c>
      <c r="D10" s="923"/>
      <c r="E10" s="924"/>
    </row>
    <row r="11" spans="1:5" ht="15.5" thickTop="1">
      <c r="A11" s="587"/>
      <c r="B11" s="925">
        <v>1</v>
      </c>
      <c r="C11" s="926" t="s">
        <v>716</v>
      </c>
      <c r="D11" s="927" t="s">
        <v>717</v>
      </c>
      <c r="E11" s="928">
        <v>1859.5349999999999</v>
      </c>
    </row>
    <row r="12" spans="1:5" ht="15.5" thickBot="1">
      <c r="A12" s="587"/>
      <c r="B12" s="929">
        <v>2</v>
      </c>
      <c r="C12" s="930" t="s">
        <v>718</v>
      </c>
      <c r="D12" s="931" t="s">
        <v>717</v>
      </c>
      <c r="E12" s="932">
        <v>1854.82</v>
      </c>
    </row>
    <row r="13" spans="1:5" ht="15">
      <c r="A13" s="587"/>
      <c r="B13" s="933">
        <v>3</v>
      </c>
      <c r="C13" s="934" t="s">
        <v>719</v>
      </c>
      <c r="D13" s="935" t="s">
        <v>717</v>
      </c>
      <c r="E13" s="936">
        <v>1775.1139999999998</v>
      </c>
    </row>
    <row r="14" spans="1:5" ht="15.5">
      <c r="A14" s="587"/>
      <c r="B14" s="937" t="s">
        <v>720</v>
      </c>
      <c r="C14" s="938" t="s">
        <v>721</v>
      </c>
      <c r="D14" s="939" t="s">
        <v>722</v>
      </c>
      <c r="E14" s="940">
        <f>F105+G105</f>
        <v>0</v>
      </c>
    </row>
    <row r="15" spans="1:5" ht="15.5">
      <c r="A15" s="587"/>
      <c r="B15" s="941" t="s">
        <v>723</v>
      </c>
      <c r="C15" s="942" t="s">
        <v>724</v>
      </c>
      <c r="D15" s="943" t="s">
        <v>725</v>
      </c>
      <c r="E15" s="944">
        <v>0</v>
      </c>
    </row>
    <row r="16" spans="1:5" ht="15" thickBot="1">
      <c r="A16" s="587"/>
      <c r="B16" s="945" t="s">
        <v>726</v>
      </c>
      <c r="C16" s="946" t="s">
        <v>727</v>
      </c>
      <c r="D16" s="947" t="s">
        <v>728</v>
      </c>
      <c r="E16" s="948">
        <v>0</v>
      </c>
    </row>
    <row r="17" spans="1:5" ht="15.5">
      <c r="A17" s="587"/>
      <c r="B17" s="933" t="s">
        <v>729</v>
      </c>
      <c r="C17" s="934" t="s">
        <v>730</v>
      </c>
      <c r="D17" s="949" t="s">
        <v>722</v>
      </c>
      <c r="E17" s="950">
        <f>E18+E23+E25</f>
        <v>1380.3026199999999</v>
      </c>
    </row>
    <row r="18" spans="1:5" ht="15">
      <c r="A18" s="587"/>
      <c r="B18" s="951" t="s">
        <v>731</v>
      </c>
      <c r="C18" s="952" t="s">
        <v>732</v>
      </c>
      <c r="D18" s="953" t="s">
        <v>717</v>
      </c>
      <c r="E18" s="954">
        <f>E19+E22</f>
        <v>824.03645000000006</v>
      </c>
    </row>
    <row r="19" spans="1:5" ht="15.5">
      <c r="A19" s="587"/>
      <c r="B19" s="937" t="s">
        <v>733</v>
      </c>
      <c r="C19" s="938" t="s">
        <v>734</v>
      </c>
      <c r="D19" s="939" t="s">
        <v>722</v>
      </c>
      <c r="E19" s="955">
        <v>440.20673000000005</v>
      </c>
    </row>
    <row r="20" spans="1:5">
      <c r="A20" s="587"/>
      <c r="B20" s="956" t="s">
        <v>735</v>
      </c>
      <c r="C20" s="957" t="s">
        <v>736</v>
      </c>
      <c r="D20" s="958" t="s">
        <v>728</v>
      </c>
      <c r="E20" s="955"/>
    </row>
    <row r="21" spans="1:5" ht="15.5">
      <c r="A21" s="587"/>
      <c r="B21" s="941" t="s">
        <v>737</v>
      </c>
      <c r="C21" s="942" t="s">
        <v>724</v>
      </c>
      <c r="D21" s="943" t="s">
        <v>725</v>
      </c>
      <c r="E21" s="955">
        <v>0</v>
      </c>
    </row>
    <row r="22" spans="1:5" ht="15.5">
      <c r="A22" s="587"/>
      <c r="B22" s="937" t="s">
        <v>738</v>
      </c>
      <c r="C22" s="938" t="s">
        <v>739</v>
      </c>
      <c r="D22" s="939" t="s">
        <v>722</v>
      </c>
      <c r="E22" s="955">
        <v>383.82972000000001</v>
      </c>
    </row>
    <row r="23" spans="1:5" ht="15">
      <c r="A23" s="587"/>
      <c r="B23" s="951" t="s">
        <v>740</v>
      </c>
      <c r="C23" s="952" t="s">
        <v>741</v>
      </c>
      <c r="D23" s="953" t="s">
        <v>717</v>
      </c>
      <c r="E23" s="959">
        <v>556.26616999999999</v>
      </c>
    </row>
    <row r="24" spans="1:5" ht="15.5">
      <c r="A24" s="587"/>
      <c r="B24" s="937" t="s">
        <v>742</v>
      </c>
      <c r="C24" s="938" t="s">
        <v>743</v>
      </c>
      <c r="D24" s="939" t="s">
        <v>722</v>
      </c>
      <c r="E24" s="955">
        <v>183.26631</v>
      </c>
    </row>
    <row r="25" spans="1:5" ht="15.5" thickBot="1">
      <c r="A25" s="587"/>
      <c r="B25" s="929" t="s">
        <v>744</v>
      </c>
      <c r="C25" s="930" t="s">
        <v>745</v>
      </c>
      <c r="D25" s="931" t="s">
        <v>717</v>
      </c>
      <c r="E25" s="932">
        <v>0</v>
      </c>
    </row>
    <row r="26" spans="1:5" ht="15.5" thickBot="1">
      <c r="A26" s="587"/>
      <c r="B26" s="960" t="s">
        <v>746</v>
      </c>
      <c r="C26" s="961" t="s">
        <v>747</v>
      </c>
      <c r="D26" s="962" t="s">
        <v>717</v>
      </c>
      <c r="E26" s="963">
        <v>12</v>
      </c>
    </row>
    <row r="27" spans="1:5" ht="15">
      <c r="A27" s="587"/>
      <c r="B27" s="964" t="s">
        <v>748</v>
      </c>
      <c r="C27" s="965" t="s">
        <v>749</v>
      </c>
      <c r="D27" s="966" t="s">
        <v>717</v>
      </c>
      <c r="E27" s="967">
        <f>E11-E17-E26</f>
        <v>467.23237999999992</v>
      </c>
    </row>
    <row r="28" spans="1:5" ht="15.5">
      <c r="A28" s="587"/>
      <c r="B28" s="968" t="s">
        <v>750</v>
      </c>
      <c r="C28" s="938" t="s">
        <v>751</v>
      </c>
      <c r="D28" s="939" t="s">
        <v>722</v>
      </c>
      <c r="E28" s="969">
        <f>E11-E13</f>
        <v>84.421000000000049</v>
      </c>
    </row>
    <row r="29" spans="1:5">
      <c r="A29" s="587"/>
      <c r="B29" s="968" t="s">
        <v>752</v>
      </c>
      <c r="C29" s="938" t="s">
        <v>753</v>
      </c>
      <c r="D29" s="939" t="s">
        <v>728</v>
      </c>
      <c r="E29" s="969">
        <f>E13-E17-E26-E31</f>
        <v>823.01810999999998</v>
      </c>
    </row>
    <row r="30" spans="1:5" ht="15.5">
      <c r="A30" s="587"/>
      <c r="B30" s="937" t="s">
        <v>754</v>
      </c>
      <c r="C30" s="938" t="s">
        <v>755</v>
      </c>
      <c r="D30" s="939" t="s">
        <v>722</v>
      </c>
      <c r="E30" s="970">
        <f>$E$14-$E$19</f>
        <v>-440.20673000000005</v>
      </c>
    </row>
    <row r="31" spans="1:5" ht="15.5">
      <c r="A31" s="587"/>
      <c r="B31" s="941" t="s">
        <v>756</v>
      </c>
      <c r="C31" s="942" t="s">
        <v>757</v>
      </c>
      <c r="D31" s="943" t="s">
        <v>725</v>
      </c>
      <c r="E31" s="971">
        <f>$E$14-$E$19</f>
        <v>-440.20673000000005</v>
      </c>
    </row>
    <row r="32" spans="1:5" ht="15" thickBot="1">
      <c r="A32" s="587"/>
      <c r="B32" s="941" t="s">
        <v>758</v>
      </c>
      <c r="C32" s="972" t="s">
        <v>759</v>
      </c>
      <c r="D32" s="973" t="s">
        <v>728</v>
      </c>
      <c r="E32" s="974">
        <f>E15-E21</f>
        <v>0</v>
      </c>
    </row>
    <row r="33" spans="1:5" ht="15.5" thickTop="1" thickBot="1">
      <c r="A33" s="587"/>
      <c r="B33" s="921"/>
      <c r="C33" s="922" t="s">
        <v>760</v>
      </c>
      <c r="D33" s="923"/>
      <c r="E33" s="924"/>
    </row>
    <row r="34" spans="1:5" ht="16" thickTop="1">
      <c r="A34" s="587"/>
      <c r="B34" s="933" t="s">
        <v>761</v>
      </c>
      <c r="C34" s="934" t="s">
        <v>762</v>
      </c>
      <c r="D34" s="939" t="s">
        <v>722</v>
      </c>
      <c r="E34" s="975">
        <f>E35+E36</f>
        <v>2507.8479199999997</v>
      </c>
    </row>
    <row r="35" spans="1:5" ht="15.5">
      <c r="A35" s="587"/>
      <c r="B35" s="937" t="s">
        <v>763</v>
      </c>
      <c r="C35" s="938" t="s">
        <v>764</v>
      </c>
      <c r="D35" s="939" t="s">
        <v>722</v>
      </c>
      <c r="E35" s="976">
        <v>2507.0379199999998</v>
      </c>
    </row>
    <row r="36" spans="1:5" ht="16" thickBot="1">
      <c r="A36" s="587"/>
      <c r="B36" s="937" t="s">
        <v>765</v>
      </c>
      <c r="C36" s="977" t="s">
        <v>766</v>
      </c>
      <c r="D36" s="939" t="s">
        <v>722</v>
      </c>
      <c r="E36" s="978">
        <v>0.81</v>
      </c>
    </row>
    <row r="37" spans="1:5" ht="26.5" thickBot="1">
      <c r="A37" s="587"/>
      <c r="B37" s="979" t="s">
        <v>767</v>
      </c>
      <c r="C37" s="980" t="s">
        <v>768</v>
      </c>
      <c r="D37" s="981" t="s">
        <v>769</v>
      </c>
      <c r="E37" s="982">
        <v>2555.6757647058826</v>
      </c>
    </row>
    <row r="38" spans="1:5" ht="26.5" thickBot="1">
      <c r="A38" s="587"/>
      <c r="B38" s="979" t="s">
        <v>770</v>
      </c>
      <c r="C38" s="980" t="s">
        <v>771</v>
      </c>
      <c r="D38" s="981" t="s">
        <v>769</v>
      </c>
      <c r="E38" s="982">
        <v>0</v>
      </c>
    </row>
    <row r="39" spans="1:5" ht="17" thickBot="1">
      <c r="A39" s="587"/>
      <c r="B39" s="960" t="s">
        <v>772</v>
      </c>
      <c r="C39" s="961" t="s">
        <v>773</v>
      </c>
      <c r="D39" s="981" t="s">
        <v>769</v>
      </c>
      <c r="E39" s="963">
        <v>2859.5303199999998</v>
      </c>
    </row>
    <row r="40" spans="1:5" ht="15.5" thickBot="1">
      <c r="A40" s="587"/>
      <c r="B40" s="983" t="s">
        <v>774</v>
      </c>
      <c r="C40" s="984" t="s">
        <v>775</v>
      </c>
      <c r="D40" s="935" t="s">
        <v>717</v>
      </c>
      <c r="E40" s="985">
        <f>'9'!$E$177</f>
        <v>0.64300000000000002</v>
      </c>
    </row>
    <row r="41" spans="1:5" ht="26.5" thickBot="1">
      <c r="A41" s="587"/>
      <c r="B41" s="1304" t="s">
        <v>776</v>
      </c>
      <c r="C41" s="986" t="s">
        <v>777</v>
      </c>
      <c r="D41" s="987" t="s">
        <v>717</v>
      </c>
      <c r="E41" s="988">
        <f>E43+E49+E52</f>
        <v>1663.60743</v>
      </c>
    </row>
    <row r="42" spans="1:5" ht="26.5" thickBot="1">
      <c r="A42" s="587"/>
      <c r="B42" s="1305"/>
      <c r="C42" s="989" t="s">
        <v>778</v>
      </c>
      <c r="D42" s="987" t="s">
        <v>779</v>
      </c>
      <c r="E42" s="988">
        <f>+E44+E47+E50</f>
        <v>2016.0998300000001</v>
      </c>
    </row>
    <row r="43" spans="1:5" ht="15">
      <c r="A43" s="587"/>
      <c r="B43" s="933" t="s">
        <v>780</v>
      </c>
      <c r="C43" s="934" t="s">
        <v>781</v>
      </c>
      <c r="D43" s="935" t="s">
        <v>717</v>
      </c>
      <c r="E43" s="990">
        <f>E44+E46</f>
        <v>709.97916000000009</v>
      </c>
    </row>
    <row r="44" spans="1:5" ht="15.5">
      <c r="A44" s="587"/>
      <c r="B44" s="937" t="s">
        <v>782</v>
      </c>
      <c r="C44" s="938" t="s">
        <v>783</v>
      </c>
      <c r="D44" s="939" t="s">
        <v>722</v>
      </c>
      <c r="E44" s="976">
        <v>435.18063999999998</v>
      </c>
    </row>
    <row r="45" spans="1:5" ht="15.5">
      <c r="A45" s="587"/>
      <c r="B45" s="941" t="s">
        <v>784</v>
      </c>
      <c r="C45" s="942" t="s">
        <v>785</v>
      </c>
      <c r="D45" s="943" t="s">
        <v>725</v>
      </c>
      <c r="E45" s="955">
        <v>0</v>
      </c>
    </row>
    <row r="46" spans="1:5" ht="15.5">
      <c r="A46" s="587"/>
      <c r="B46" s="941" t="s">
        <v>786</v>
      </c>
      <c r="C46" s="942" t="s">
        <v>787</v>
      </c>
      <c r="D46" s="943" t="s">
        <v>725</v>
      </c>
      <c r="E46" s="944">
        <v>274.79852000000005</v>
      </c>
    </row>
    <row r="47" spans="1:5">
      <c r="A47" s="587"/>
      <c r="B47" s="941" t="s">
        <v>788</v>
      </c>
      <c r="C47" s="942" t="s">
        <v>789</v>
      </c>
      <c r="D47" s="943" t="s">
        <v>728</v>
      </c>
      <c r="E47" s="944">
        <v>274.96152000000006</v>
      </c>
    </row>
    <row r="48" spans="1:5" ht="15" thickBot="1">
      <c r="A48" s="587"/>
      <c r="B48" s="991" t="s">
        <v>790</v>
      </c>
      <c r="C48" s="992" t="s">
        <v>791</v>
      </c>
      <c r="D48" s="993" t="s">
        <v>728</v>
      </c>
      <c r="E48" s="944">
        <v>274.96152000000006</v>
      </c>
    </row>
    <row r="49" spans="1:5" ht="15">
      <c r="A49" s="587"/>
      <c r="B49" s="933" t="s">
        <v>792</v>
      </c>
      <c r="C49" s="934" t="s">
        <v>793</v>
      </c>
      <c r="D49" s="935" t="s">
        <v>717</v>
      </c>
      <c r="E49" s="994">
        <v>953.62826999999993</v>
      </c>
    </row>
    <row r="50" spans="1:5" ht="15.5">
      <c r="A50" s="587"/>
      <c r="B50" s="937" t="s">
        <v>794</v>
      </c>
      <c r="C50" s="995" t="s">
        <v>795</v>
      </c>
      <c r="D50" s="943" t="s">
        <v>725</v>
      </c>
      <c r="E50" s="976">
        <v>1305.95767</v>
      </c>
    </row>
    <row r="51" spans="1:5" ht="16" thickBot="1">
      <c r="A51" s="587"/>
      <c r="B51" s="996" t="s">
        <v>796</v>
      </c>
      <c r="C51" s="997" t="s">
        <v>797</v>
      </c>
      <c r="D51" s="998" t="s">
        <v>725</v>
      </c>
      <c r="E51" s="999">
        <v>1305.95767</v>
      </c>
    </row>
    <row r="52" spans="1:5" ht="15.5" thickBot="1">
      <c r="A52" s="587"/>
      <c r="B52" s="960" t="s">
        <v>798</v>
      </c>
      <c r="C52" s="961" t="s">
        <v>799</v>
      </c>
      <c r="D52" s="962" t="s">
        <v>717</v>
      </c>
      <c r="E52" s="963">
        <v>0</v>
      </c>
    </row>
    <row r="53" spans="1:5" ht="15">
      <c r="A53" s="587"/>
      <c r="B53" s="933" t="s">
        <v>800</v>
      </c>
      <c r="C53" s="934" t="s">
        <v>801</v>
      </c>
      <c r="D53" s="966" t="s">
        <v>717</v>
      </c>
      <c r="E53" s="975">
        <f>E34-E41</f>
        <v>844.24048999999968</v>
      </c>
    </row>
    <row r="54" spans="1:5" ht="15.5">
      <c r="A54" s="587"/>
      <c r="B54" s="937" t="s">
        <v>802</v>
      </c>
      <c r="C54" s="938" t="s">
        <v>803</v>
      </c>
      <c r="D54" s="939" t="s">
        <v>722</v>
      </c>
      <c r="E54" s="1000">
        <f>E53-E55</f>
        <v>844.24048999999968</v>
      </c>
    </row>
    <row r="55" spans="1:5" ht="15.5">
      <c r="A55" s="587"/>
      <c r="B55" s="937" t="s">
        <v>804</v>
      </c>
      <c r="C55" s="938" t="s">
        <v>805</v>
      </c>
      <c r="D55" s="939" t="s">
        <v>722</v>
      </c>
      <c r="E55" s="1000">
        <f>(E44/(100-E71)*100)-E44</f>
        <v>0</v>
      </c>
    </row>
    <row r="56" spans="1:5" ht="16" thickBot="1">
      <c r="A56" s="587"/>
      <c r="B56" s="1001" t="s">
        <v>806</v>
      </c>
      <c r="C56" s="1002" t="s">
        <v>807</v>
      </c>
      <c r="D56" s="998" t="s">
        <v>725</v>
      </c>
      <c r="E56" s="1003">
        <f>IF(E15-E45&lt;=0,0,E15-E45)</f>
        <v>0</v>
      </c>
    </row>
    <row r="57" spans="1:5" ht="15.5" thickTop="1" thickBot="1">
      <c r="A57" s="587"/>
      <c r="B57" s="921"/>
      <c r="C57" s="922" t="s">
        <v>808</v>
      </c>
      <c r="D57" s="923"/>
      <c r="E57" s="924"/>
    </row>
    <row r="58" spans="1:5" ht="15.5" thickTop="1">
      <c r="A58" s="587"/>
      <c r="B58" s="933" t="s">
        <v>809</v>
      </c>
      <c r="C58" s="1004" t="s">
        <v>810</v>
      </c>
      <c r="D58" s="935" t="s">
        <v>717</v>
      </c>
      <c r="E58" s="975">
        <f>SUM(E59:E60)</f>
        <v>1559.54394</v>
      </c>
    </row>
    <row r="59" spans="1:5" ht="15.5">
      <c r="A59" s="587"/>
      <c r="B59" s="1005" t="s">
        <v>811</v>
      </c>
      <c r="C59" s="1006" t="s">
        <v>812</v>
      </c>
      <c r="D59" s="939" t="s">
        <v>722</v>
      </c>
      <c r="E59" s="1007">
        <v>0</v>
      </c>
    </row>
    <row r="60" spans="1:5" ht="16" thickBot="1">
      <c r="A60" s="587"/>
      <c r="B60" s="1008" t="s">
        <v>813</v>
      </c>
      <c r="C60" s="1009" t="s">
        <v>814</v>
      </c>
      <c r="D60" s="1010" t="s">
        <v>722</v>
      </c>
      <c r="E60" s="1011">
        <v>1559.54394</v>
      </c>
    </row>
    <row r="61" spans="1:5" ht="15.5" thickBot="1">
      <c r="A61" s="587"/>
      <c r="B61" s="960" t="s">
        <v>815</v>
      </c>
      <c r="C61" s="961" t="s">
        <v>816</v>
      </c>
      <c r="D61" s="962" t="s">
        <v>717</v>
      </c>
      <c r="E61" s="963">
        <v>0</v>
      </c>
    </row>
    <row r="62" spans="1:5" ht="15">
      <c r="A62" s="587"/>
      <c r="B62" s="933" t="s">
        <v>817</v>
      </c>
      <c r="C62" s="934" t="s">
        <v>818</v>
      </c>
      <c r="D62" s="935" t="s">
        <v>717</v>
      </c>
      <c r="E62" s="994">
        <f>SUM(E63:E64)</f>
        <v>1559.54394</v>
      </c>
    </row>
    <row r="63" spans="1:5" ht="15.5">
      <c r="A63" s="587"/>
      <c r="B63" s="996" t="s">
        <v>819</v>
      </c>
      <c r="C63" s="1006" t="s">
        <v>812</v>
      </c>
      <c r="D63" s="939" t="s">
        <v>722</v>
      </c>
      <c r="E63" s="932">
        <v>0</v>
      </c>
    </row>
    <row r="64" spans="1:5" ht="16" thickBot="1">
      <c r="A64" s="587"/>
      <c r="B64" s="996" t="s">
        <v>820</v>
      </c>
      <c r="C64" s="1009" t="s">
        <v>814</v>
      </c>
      <c r="D64" s="1010" t="s">
        <v>722</v>
      </c>
      <c r="E64" s="999">
        <v>1559.54394</v>
      </c>
    </row>
    <row r="65" spans="1:5" ht="15.5" thickBot="1">
      <c r="A65" s="587"/>
      <c r="B65" s="1012" t="s">
        <v>821</v>
      </c>
      <c r="C65" s="1013" t="s">
        <v>822</v>
      </c>
      <c r="D65" s="1014" t="s">
        <v>717</v>
      </c>
      <c r="E65" s="1015">
        <f>E58-E62</f>
        <v>0</v>
      </c>
    </row>
    <row r="66" spans="1:5" ht="15.5" thickTop="1" thickBot="1">
      <c r="A66" s="587"/>
      <c r="B66" s="921"/>
      <c r="C66" s="922" t="s">
        <v>823</v>
      </c>
      <c r="D66" s="923"/>
      <c r="E66" s="924"/>
    </row>
    <row r="67" spans="1:5" ht="15.5" thickTop="1" thickBot="1">
      <c r="A67" s="587"/>
      <c r="B67" s="1016" t="s">
        <v>824</v>
      </c>
      <c r="C67" s="989" t="s">
        <v>825</v>
      </c>
      <c r="D67" s="989" t="s">
        <v>826</v>
      </c>
      <c r="E67" s="1017">
        <f>IF(E11=0,0,E27/E11*100)</f>
        <v>25.126302005608924</v>
      </c>
    </row>
    <row r="68" spans="1:5">
      <c r="A68" s="587"/>
      <c r="B68" s="1018" t="s">
        <v>827</v>
      </c>
      <c r="C68" s="1019" t="s">
        <v>828</v>
      </c>
      <c r="D68" s="1020" t="s">
        <v>826</v>
      </c>
      <c r="E68" s="1021">
        <f>IF(E11=0,0,E28/E11*100)</f>
        <v>4.5398984154640836</v>
      </c>
    </row>
    <row r="69" spans="1:5">
      <c r="A69" s="587"/>
      <c r="B69" s="1022" t="s">
        <v>829</v>
      </c>
      <c r="C69" s="1023" t="s">
        <v>753</v>
      </c>
      <c r="D69" s="1024" t="s">
        <v>826</v>
      </c>
      <c r="E69" s="1021">
        <f>IF(E11=0,0,E29/E11*100)</f>
        <v>44.259350321451336</v>
      </c>
    </row>
    <row r="70" spans="1:5">
      <c r="A70" s="587"/>
      <c r="B70" s="1022" t="s">
        <v>830</v>
      </c>
      <c r="C70" s="1023" t="s">
        <v>755</v>
      </c>
      <c r="D70" s="1024" t="s">
        <v>826</v>
      </c>
      <c r="E70" s="1021">
        <f>IF(E11=0,0,E30/E11*100)</f>
        <v>-23.672946731306489</v>
      </c>
    </row>
    <row r="71" spans="1:5">
      <c r="A71" s="587"/>
      <c r="B71" s="1022" t="s">
        <v>831</v>
      </c>
      <c r="C71" s="1025" t="s">
        <v>757</v>
      </c>
      <c r="D71" s="1024" t="s">
        <v>826</v>
      </c>
      <c r="E71" s="1021">
        <f>IF(E14=0,0,E31/E14*100)</f>
        <v>0</v>
      </c>
    </row>
    <row r="72" spans="1:5">
      <c r="A72" s="587"/>
      <c r="B72" s="1026" t="s">
        <v>832</v>
      </c>
      <c r="C72" s="1027" t="s">
        <v>833</v>
      </c>
      <c r="D72" s="1028" t="s">
        <v>826</v>
      </c>
      <c r="E72" s="1021">
        <f>IF($E$13=0,0,($E$30-E31)/($E$13-E14)*100)</f>
        <v>0</v>
      </c>
    </row>
    <row r="73" spans="1:5" ht="15" thickBot="1">
      <c r="A73" s="587"/>
      <c r="B73" s="1029" t="s">
        <v>834</v>
      </c>
      <c r="C73" s="1027" t="s">
        <v>759</v>
      </c>
      <c r="D73" s="1028" t="s">
        <v>826</v>
      </c>
      <c r="E73" s="1030">
        <f>IF(E15=0,0,E32/E15*100)</f>
        <v>0</v>
      </c>
    </row>
    <row r="74" spans="1:5" ht="26.5" thickBot="1">
      <c r="A74" s="587"/>
      <c r="B74" s="1016" t="s">
        <v>835</v>
      </c>
      <c r="C74" s="989" t="s">
        <v>836</v>
      </c>
      <c r="D74" s="989" t="s">
        <v>826</v>
      </c>
      <c r="E74" s="1017">
        <f>IF(E34=0,0,E53/E34*100)</f>
        <v>33.663942827920749</v>
      </c>
    </row>
    <row r="75" spans="1:5">
      <c r="A75" s="587"/>
      <c r="B75" s="1031" t="s">
        <v>837</v>
      </c>
      <c r="C75" s="1032" t="s">
        <v>803</v>
      </c>
      <c r="D75" s="1024" t="s">
        <v>826</v>
      </c>
      <c r="E75" s="1033">
        <f>IF(E34=0,0,E54/E34*100)</f>
        <v>33.663942827920749</v>
      </c>
    </row>
    <row r="76" spans="1:5">
      <c r="A76" s="587"/>
      <c r="B76" s="1031" t="s">
        <v>838</v>
      </c>
      <c r="C76" s="1034" t="s">
        <v>805</v>
      </c>
      <c r="D76" s="1024" t="s">
        <v>826</v>
      </c>
      <c r="E76" s="1033">
        <f>IF(E34=0,0,E55/E34*100)</f>
        <v>0</v>
      </c>
    </row>
    <row r="77" spans="1:5" ht="15" thickBot="1">
      <c r="A77" s="587"/>
      <c r="B77" s="1035" t="s">
        <v>839</v>
      </c>
      <c r="C77" s="1036" t="s">
        <v>807</v>
      </c>
      <c r="D77" s="1037" t="s">
        <v>826</v>
      </c>
      <c r="E77" s="1038">
        <f>IF(E15=0,0,E56/E15*100)</f>
        <v>0</v>
      </c>
    </row>
    <row r="78" spans="1:5" ht="27" thickTop="1" thickBot="1">
      <c r="A78" s="587"/>
      <c r="B78" s="1039" t="s">
        <v>840</v>
      </c>
      <c r="C78" s="1040" t="s">
        <v>841</v>
      </c>
      <c r="D78" s="1040" t="s">
        <v>826</v>
      </c>
      <c r="E78" s="1041">
        <f>IF(E58=0,0,E65/E58*100)</f>
        <v>0</v>
      </c>
    </row>
    <row r="79" spans="1:5" ht="15.5" thickTop="1" thickBot="1">
      <c r="A79" s="587"/>
      <c r="B79" s="921"/>
      <c r="C79" s="922" t="s">
        <v>842</v>
      </c>
      <c r="D79" s="923"/>
      <c r="E79" s="924"/>
    </row>
    <row r="80" spans="1:5" ht="15.5" thickTop="1" thickBot="1">
      <c r="A80" s="587"/>
      <c r="B80" s="929" t="s">
        <v>843</v>
      </c>
      <c r="C80" s="931" t="s">
        <v>844</v>
      </c>
      <c r="D80" s="1010" t="s">
        <v>845</v>
      </c>
      <c r="E80" s="1042">
        <v>45997</v>
      </c>
    </row>
    <row r="81" spans="1:5" ht="15" thickBot="1">
      <c r="A81" s="587"/>
      <c r="B81" s="960" t="s">
        <v>846</v>
      </c>
      <c r="C81" s="962" t="s">
        <v>847</v>
      </c>
      <c r="D81" s="1043" t="s">
        <v>848</v>
      </c>
      <c r="E81" s="1044">
        <v>26521</v>
      </c>
    </row>
    <row r="82" spans="1:5">
      <c r="A82" s="587"/>
      <c r="B82" s="933" t="s">
        <v>849</v>
      </c>
      <c r="C82" s="935" t="s">
        <v>850</v>
      </c>
      <c r="D82" s="949" t="s">
        <v>848</v>
      </c>
      <c r="E82" s="1045">
        <f>E83+E86+E87+E88+E89</f>
        <v>19472</v>
      </c>
    </row>
    <row r="83" spans="1:5">
      <c r="A83" s="587"/>
      <c r="B83" s="996" t="s">
        <v>851</v>
      </c>
      <c r="C83" s="939" t="s">
        <v>852</v>
      </c>
      <c r="D83" s="939" t="s">
        <v>848</v>
      </c>
      <c r="E83" s="1046">
        <f>SUM(E84:E85)</f>
        <v>17415</v>
      </c>
    </row>
    <row r="84" spans="1:5">
      <c r="A84" s="587"/>
      <c r="B84" s="941" t="s">
        <v>853</v>
      </c>
      <c r="C84" s="1047" t="s">
        <v>854</v>
      </c>
      <c r="D84" s="943" t="s">
        <v>848</v>
      </c>
      <c r="E84" s="1048">
        <v>12971</v>
      </c>
    </row>
    <row r="85" spans="1:5">
      <c r="A85" s="587"/>
      <c r="B85" s="941" t="s">
        <v>855</v>
      </c>
      <c r="C85" s="1047" t="s">
        <v>856</v>
      </c>
      <c r="D85" s="943" t="s">
        <v>848</v>
      </c>
      <c r="E85" s="1048">
        <v>4444</v>
      </c>
    </row>
    <row r="86" spans="1:5">
      <c r="A86" s="587"/>
      <c r="B86" s="937" t="s">
        <v>857</v>
      </c>
      <c r="C86" s="939" t="s">
        <v>858</v>
      </c>
      <c r="D86" s="939" t="s">
        <v>848</v>
      </c>
      <c r="E86" s="1049">
        <v>1745</v>
      </c>
    </row>
    <row r="87" spans="1:5">
      <c r="A87" s="587"/>
      <c r="B87" s="937" t="s">
        <v>859</v>
      </c>
      <c r="C87" s="939" t="s">
        <v>860</v>
      </c>
      <c r="D87" s="939" t="s">
        <v>848</v>
      </c>
      <c r="E87" s="1049">
        <v>225</v>
      </c>
    </row>
    <row r="88" spans="1:5">
      <c r="A88" s="587"/>
      <c r="B88" s="1008" t="s">
        <v>861</v>
      </c>
      <c r="C88" s="1050" t="s">
        <v>862</v>
      </c>
      <c r="D88" s="1051" t="s">
        <v>848</v>
      </c>
      <c r="E88" s="1052">
        <v>87</v>
      </c>
    </row>
    <row r="89" spans="1:5" ht="15" thickBot="1">
      <c r="A89" s="587"/>
      <c r="B89" s="1053" t="s">
        <v>863</v>
      </c>
      <c r="C89" s="1054" t="s">
        <v>864</v>
      </c>
      <c r="D89" s="1055" t="s">
        <v>848</v>
      </c>
      <c r="E89" s="1056">
        <v>0</v>
      </c>
    </row>
    <row r="90" spans="1:5">
      <c r="A90" s="587"/>
      <c r="B90" s="933" t="s">
        <v>865</v>
      </c>
      <c r="C90" s="935" t="s">
        <v>866</v>
      </c>
      <c r="D90" s="949" t="s">
        <v>848</v>
      </c>
      <c r="E90" s="1057">
        <f>SUM(E91:E93)</f>
        <v>567</v>
      </c>
    </row>
    <row r="91" spans="1:5">
      <c r="A91" s="587"/>
      <c r="B91" s="937" t="s">
        <v>867</v>
      </c>
      <c r="C91" s="939" t="s">
        <v>868</v>
      </c>
      <c r="D91" s="939" t="s">
        <v>848</v>
      </c>
      <c r="E91" s="1049">
        <v>413</v>
      </c>
    </row>
    <row r="92" spans="1:5">
      <c r="A92" s="587"/>
      <c r="B92" s="996" t="s">
        <v>869</v>
      </c>
      <c r="C92" s="1010" t="s">
        <v>870</v>
      </c>
      <c r="D92" s="1010" t="s">
        <v>848</v>
      </c>
      <c r="E92" s="1042">
        <v>145</v>
      </c>
    </row>
    <row r="93" spans="1:5" ht="15" thickBot="1">
      <c r="A93" s="587"/>
      <c r="B93" s="937" t="s">
        <v>871</v>
      </c>
      <c r="C93" s="939" t="s">
        <v>872</v>
      </c>
      <c r="D93" s="939" t="s">
        <v>848</v>
      </c>
      <c r="E93" s="1049">
        <v>9</v>
      </c>
    </row>
    <row r="94" spans="1:5">
      <c r="A94" s="587"/>
      <c r="B94" s="933" t="s">
        <v>873</v>
      </c>
      <c r="C94" s="935" t="s">
        <v>874</v>
      </c>
      <c r="D94" s="1058" t="s">
        <v>848</v>
      </c>
      <c r="E94" s="1059">
        <f>SUM(E95:E97)</f>
        <v>19952</v>
      </c>
    </row>
    <row r="95" spans="1:5">
      <c r="A95" s="587"/>
      <c r="B95" s="1005" t="s">
        <v>875</v>
      </c>
      <c r="C95" s="1060" t="s">
        <v>876</v>
      </c>
      <c r="D95" s="1060" t="s">
        <v>848</v>
      </c>
      <c r="E95" s="1061">
        <f>+E83+E91</f>
        <v>17828</v>
      </c>
    </row>
    <row r="96" spans="1:5">
      <c r="A96" s="587"/>
      <c r="B96" s="996" t="s">
        <v>877</v>
      </c>
      <c r="C96" s="1010" t="s">
        <v>878</v>
      </c>
      <c r="D96" s="1010" t="s">
        <v>848</v>
      </c>
      <c r="E96" s="1042">
        <f>+E86+E92</f>
        <v>1890</v>
      </c>
    </row>
    <row r="97" spans="1:7" ht="15" thickBot="1">
      <c r="A97" s="587"/>
      <c r="B97" s="1053" t="s">
        <v>879</v>
      </c>
      <c r="C97" s="1055" t="s">
        <v>880</v>
      </c>
      <c r="D97" s="1055" t="s">
        <v>848</v>
      </c>
      <c r="E97" s="1056">
        <f>+E87+E93</f>
        <v>234</v>
      </c>
    </row>
    <row r="99" spans="1:7">
      <c r="B99" s="1062" t="s">
        <v>881</v>
      </c>
      <c r="C99" s="587"/>
      <c r="D99" s="587"/>
      <c r="E99" s="587"/>
      <c r="F99" s="587"/>
      <c r="G99" s="587"/>
    </row>
    <row r="100" spans="1:7">
      <c r="B100" s="1062" t="s">
        <v>882</v>
      </c>
      <c r="C100" s="587"/>
      <c r="D100" s="587"/>
      <c r="E100" s="587"/>
      <c r="F100" s="587"/>
      <c r="G100" s="587"/>
    </row>
    <row r="101" spans="1:7">
      <c r="B101" s="587"/>
      <c r="C101" s="587"/>
      <c r="D101" s="587"/>
      <c r="E101" s="587"/>
      <c r="F101" s="587"/>
      <c r="G101" s="587"/>
    </row>
    <row r="102" spans="1:7">
      <c r="B102" s="587"/>
      <c r="C102" s="587"/>
      <c r="D102" s="587"/>
      <c r="E102" s="587"/>
      <c r="F102" s="587"/>
      <c r="G102" s="587"/>
    </row>
    <row r="103" spans="1:7" ht="15" thickBot="1">
      <c r="B103" s="1062" t="s">
        <v>883</v>
      </c>
      <c r="C103" s="1062" t="s">
        <v>884</v>
      </c>
      <c r="D103" s="587"/>
      <c r="E103" s="587"/>
      <c r="F103" s="587"/>
      <c r="G103" s="587"/>
    </row>
    <row r="104" spans="1:7" ht="26.5" thickBot="1">
      <c r="B104" s="1063"/>
      <c r="C104" s="1306" t="s">
        <v>885</v>
      </c>
      <c r="D104" s="1306"/>
      <c r="E104" s="1306"/>
      <c r="F104" s="1064" t="s">
        <v>886</v>
      </c>
      <c r="G104" s="1065" t="s">
        <v>887</v>
      </c>
    </row>
    <row r="105" spans="1:7" ht="15.5">
      <c r="B105" s="1066" t="s">
        <v>888</v>
      </c>
      <c r="C105" s="1307" t="s">
        <v>889</v>
      </c>
      <c r="D105" s="1307"/>
      <c r="E105" s="1307"/>
      <c r="F105" s="1067">
        <v>0</v>
      </c>
      <c r="G105" s="1068">
        <f>$G$106/(1-$F$107)</f>
        <v>0</v>
      </c>
    </row>
    <row r="106" spans="1:7" ht="15.5">
      <c r="B106" s="1069" t="s">
        <v>890</v>
      </c>
      <c r="C106" s="1308" t="s">
        <v>891</v>
      </c>
      <c r="D106" s="1308"/>
      <c r="E106" s="1308"/>
      <c r="F106" s="1070">
        <v>0</v>
      </c>
      <c r="G106" s="1071">
        <v>0</v>
      </c>
    </row>
    <row r="107" spans="1:7" ht="15" thickBot="1">
      <c r="B107" s="1072" t="s">
        <v>892</v>
      </c>
      <c r="C107" s="1309" t="s">
        <v>893</v>
      </c>
      <c r="D107" s="1309"/>
      <c r="E107" s="1309"/>
      <c r="F107" s="1073">
        <f>IF($F$105=0,0,1-$F$106/$F$105)</f>
        <v>0</v>
      </c>
      <c r="G107" s="1074">
        <f>IF($G$105=0,0,1-$G$106/$G$105)</f>
        <v>0</v>
      </c>
    </row>
  </sheetData>
  <mergeCells count="5">
    <mergeCell ref="B41:B42"/>
    <mergeCell ref="C104:E104"/>
    <mergeCell ref="C105:E105"/>
    <mergeCell ref="C106:E106"/>
    <mergeCell ref="C107:E107"/>
  </mergeCells>
  <pageMargins left="0.7" right="0.7" top="0.75" bottom="0.75" header="0.3" footer="0.3"/>
  <pageSetup paperSize="9" scale="4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47775-7299-46F4-9395-69F8710FF4A8}">
  <sheetPr>
    <tabColor theme="0" tint="-0.14999847407452621"/>
    <pageSetUpPr fitToPage="1"/>
  </sheetPr>
  <dimension ref="A1:E198"/>
  <sheetViews>
    <sheetView zoomScale="85" zoomScaleNormal="85" workbookViewId="0">
      <selection activeCell="B9" sqref="B9"/>
    </sheetView>
  </sheetViews>
  <sheetFormatPr defaultRowHeight="14.5"/>
  <cols>
    <col min="2" max="2" width="8.7265625" style="128" customWidth="1"/>
    <col min="3" max="3" width="78.26953125" style="128" customWidth="1"/>
    <col min="4" max="4" width="16.453125" style="128" customWidth="1"/>
    <col min="5" max="5" width="21.1796875" style="128" customWidth="1"/>
  </cols>
  <sheetData>
    <row r="1" spans="1:5">
      <c r="A1" s="587"/>
      <c r="B1" s="587"/>
      <c r="C1" s="587"/>
      <c r="D1" s="587"/>
      <c r="E1" s="587"/>
    </row>
    <row r="2" spans="1:5" ht="69">
      <c r="A2" s="587"/>
      <c r="B2" s="587"/>
      <c r="C2" s="587"/>
      <c r="D2" s="587"/>
      <c r="E2" s="589" t="s">
        <v>894</v>
      </c>
    </row>
    <row r="3" spans="1:5">
      <c r="A3" s="587"/>
      <c r="B3" s="587"/>
      <c r="C3" s="32" t="s">
        <v>1331</v>
      </c>
      <c r="D3" s="587"/>
      <c r="E3" s="587"/>
    </row>
    <row r="4" spans="1:5">
      <c r="A4" s="587"/>
      <c r="B4" s="587"/>
      <c r="C4" s="32" t="s">
        <v>1332</v>
      </c>
      <c r="D4" s="587"/>
      <c r="E4" s="587"/>
    </row>
    <row r="5" spans="1:5">
      <c r="A5" s="587"/>
      <c r="B5" s="587"/>
      <c r="C5" s="587"/>
      <c r="D5" s="587"/>
      <c r="E5" s="587"/>
    </row>
    <row r="6" spans="1:5" ht="15.5">
      <c r="A6" s="587"/>
      <c r="B6" s="587"/>
      <c r="C6" s="1075" t="s">
        <v>895</v>
      </c>
      <c r="D6" s="587"/>
      <c r="E6" s="587"/>
    </row>
    <row r="7" spans="1:5" ht="15.5">
      <c r="A7" s="587"/>
      <c r="B7" s="587"/>
      <c r="C7" s="1075"/>
      <c r="D7" s="587"/>
      <c r="E7" s="587"/>
    </row>
    <row r="8" spans="1:5" ht="15" thickBot="1">
      <c r="A8" s="587"/>
      <c r="B8" s="587"/>
      <c r="C8" s="587"/>
      <c r="D8" s="587"/>
      <c r="E8" s="587"/>
    </row>
    <row r="9" spans="1:5" ht="15" thickBot="1">
      <c r="A9" s="587"/>
      <c r="B9" s="1076" t="s">
        <v>2</v>
      </c>
      <c r="C9" s="1077" t="s">
        <v>896</v>
      </c>
      <c r="D9" s="1078" t="s">
        <v>714</v>
      </c>
      <c r="E9" s="1079" t="s">
        <v>59</v>
      </c>
    </row>
    <row r="10" spans="1:5" ht="15" thickBot="1">
      <c r="A10" s="587"/>
      <c r="B10" s="1080"/>
      <c r="C10" s="1077" t="s">
        <v>897</v>
      </c>
      <c r="D10" s="1077"/>
      <c r="E10" s="1081"/>
    </row>
    <row r="11" spans="1:5" ht="15">
      <c r="A11" s="587"/>
      <c r="B11" s="1082" t="s">
        <v>64</v>
      </c>
      <c r="C11" s="1083" t="s">
        <v>898</v>
      </c>
      <c r="D11" s="1083" t="s">
        <v>899</v>
      </c>
      <c r="E11" s="1084">
        <v>8523.4800000000014</v>
      </c>
    </row>
    <row r="12" spans="1:5" ht="15">
      <c r="A12" s="587"/>
      <c r="B12" s="1085" t="s">
        <v>70</v>
      </c>
      <c r="C12" s="1086" t="s">
        <v>900</v>
      </c>
      <c r="D12" s="1087" t="s">
        <v>899</v>
      </c>
      <c r="E12" s="1088">
        <v>6215.8040000000028</v>
      </c>
    </row>
    <row r="13" spans="1:5" ht="15">
      <c r="A13" s="587"/>
      <c r="B13" s="1085" t="s">
        <v>98</v>
      </c>
      <c r="C13" s="1086" t="s">
        <v>901</v>
      </c>
      <c r="D13" s="1086" t="s">
        <v>899</v>
      </c>
      <c r="E13" s="1088">
        <v>9862.02</v>
      </c>
    </row>
    <row r="14" spans="1:5" ht="15">
      <c r="A14" s="587"/>
      <c r="B14" s="1085" t="s">
        <v>257</v>
      </c>
      <c r="C14" s="1086" t="s">
        <v>902</v>
      </c>
      <c r="D14" s="1086" t="s">
        <v>899</v>
      </c>
      <c r="E14" s="1088">
        <v>22784.760000000017</v>
      </c>
    </row>
    <row r="15" spans="1:5" ht="15">
      <c r="A15" s="587"/>
      <c r="B15" s="1085" t="s">
        <v>259</v>
      </c>
      <c r="C15" s="1086" t="s">
        <v>903</v>
      </c>
      <c r="D15" s="1086" t="s">
        <v>899</v>
      </c>
      <c r="E15" s="1088">
        <v>438</v>
      </c>
    </row>
    <row r="16" spans="1:5" ht="15">
      <c r="A16" s="587"/>
      <c r="B16" s="1085" t="s">
        <v>267</v>
      </c>
      <c r="C16" s="1086" t="s">
        <v>904</v>
      </c>
      <c r="D16" s="1086" t="s">
        <v>899</v>
      </c>
      <c r="E16" s="1088">
        <v>4102.0524999999998</v>
      </c>
    </row>
    <row r="17" spans="1:5" ht="15">
      <c r="A17" s="587"/>
      <c r="B17" s="1089" t="s">
        <v>269</v>
      </c>
      <c r="C17" s="1090" t="s">
        <v>905</v>
      </c>
      <c r="D17" s="1090" t="s">
        <v>906</v>
      </c>
      <c r="E17" s="1091">
        <v>340</v>
      </c>
    </row>
    <row r="18" spans="1:5">
      <c r="A18" s="587"/>
      <c r="B18" s="1089" t="s">
        <v>605</v>
      </c>
      <c r="C18" s="1090" t="s">
        <v>907</v>
      </c>
      <c r="D18" s="1090" t="s">
        <v>908</v>
      </c>
      <c r="E18" s="1091">
        <v>296</v>
      </c>
    </row>
    <row r="19" spans="1:5">
      <c r="A19" s="587"/>
      <c r="B19" s="1089" t="s">
        <v>606</v>
      </c>
      <c r="C19" s="1090" t="s">
        <v>909</v>
      </c>
      <c r="D19" s="1090" t="s">
        <v>908</v>
      </c>
      <c r="E19" s="1091">
        <v>40</v>
      </c>
    </row>
    <row r="20" spans="1:5">
      <c r="A20" s="587"/>
      <c r="B20" s="1089" t="s">
        <v>910</v>
      </c>
      <c r="C20" s="1090" t="s">
        <v>911</v>
      </c>
      <c r="D20" s="1092" t="s">
        <v>908</v>
      </c>
      <c r="E20" s="1091">
        <v>4</v>
      </c>
    </row>
    <row r="21" spans="1:5" ht="15">
      <c r="A21" s="587"/>
      <c r="B21" s="1085" t="s">
        <v>271</v>
      </c>
      <c r="C21" s="1086" t="s">
        <v>912</v>
      </c>
      <c r="D21" s="1086" t="s">
        <v>899</v>
      </c>
      <c r="E21" s="1088">
        <v>0</v>
      </c>
    </row>
    <row r="22" spans="1:5" ht="15">
      <c r="A22" s="587"/>
      <c r="B22" s="1089" t="s">
        <v>913</v>
      </c>
      <c r="C22" s="1090" t="s">
        <v>905</v>
      </c>
      <c r="D22" s="1090" t="s">
        <v>906</v>
      </c>
      <c r="E22" s="1091">
        <v>0</v>
      </c>
    </row>
    <row r="23" spans="1:5">
      <c r="A23" s="587"/>
      <c r="B23" s="1089" t="s">
        <v>914</v>
      </c>
      <c r="C23" s="1090" t="s">
        <v>907</v>
      </c>
      <c r="D23" s="1090" t="s">
        <v>908</v>
      </c>
      <c r="E23" s="1091">
        <v>0</v>
      </c>
    </row>
    <row r="24" spans="1:5">
      <c r="A24" s="587"/>
      <c r="B24" s="1089" t="s">
        <v>915</v>
      </c>
      <c r="C24" s="1090" t="s">
        <v>916</v>
      </c>
      <c r="D24" s="1090" t="s">
        <v>908</v>
      </c>
      <c r="E24" s="1091">
        <v>0</v>
      </c>
    </row>
    <row r="25" spans="1:5">
      <c r="A25" s="587"/>
      <c r="B25" s="1085" t="s">
        <v>917</v>
      </c>
      <c r="C25" s="1086" t="s">
        <v>918</v>
      </c>
      <c r="D25" s="1086" t="s">
        <v>919</v>
      </c>
      <c r="E25" s="1088">
        <v>131.1</v>
      </c>
    </row>
    <row r="26" spans="1:5">
      <c r="A26" s="587"/>
      <c r="B26" s="1089" t="s">
        <v>920</v>
      </c>
      <c r="C26" s="1090" t="s">
        <v>921</v>
      </c>
      <c r="D26" s="1090" t="s">
        <v>919</v>
      </c>
      <c r="E26" s="1091">
        <v>1551</v>
      </c>
    </row>
    <row r="27" spans="1:5">
      <c r="A27" s="587"/>
      <c r="B27" s="1089" t="s">
        <v>922</v>
      </c>
      <c r="C27" s="1090" t="s">
        <v>923</v>
      </c>
      <c r="D27" s="1090" t="s">
        <v>919</v>
      </c>
      <c r="E27" s="1091">
        <v>1084</v>
      </c>
    </row>
    <row r="28" spans="1:5">
      <c r="A28" s="587"/>
      <c r="B28" s="1089" t="s">
        <v>924</v>
      </c>
      <c r="C28" s="1090" t="s">
        <v>925</v>
      </c>
      <c r="D28" s="1090" t="s">
        <v>919</v>
      </c>
      <c r="E28" s="1091">
        <v>1084</v>
      </c>
    </row>
    <row r="29" spans="1:5">
      <c r="A29" s="587"/>
      <c r="B29" s="1089" t="s">
        <v>926</v>
      </c>
      <c r="C29" s="1090" t="s">
        <v>927</v>
      </c>
      <c r="D29" s="1090" t="s">
        <v>919</v>
      </c>
      <c r="E29" s="1091">
        <v>1084</v>
      </c>
    </row>
    <row r="30" spans="1:5" ht="15" thickBot="1">
      <c r="A30" s="587"/>
      <c r="B30" s="1093" t="s">
        <v>928</v>
      </c>
      <c r="C30" s="1094" t="s">
        <v>929</v>
      </c>
      <c r="D30" s="1094" t="s">
        <v>919</v>
      </c>
      <c r="E30" s="1095">
        <v>0</v>
      </c>
    </row>
    <row r="31" spans="1:5" ht="15" thickBot="1">
      <c r="A31" s="587"/>
      <c r="B31" s="1080"/>
      <c r="C31" s="1077" t="s">
        <v>930</v>
      </c>
      <c r="D31" s="1077"/>
      <c r="E31" s="1081"/>
    </row>
    <row r="32" spans="1:5">
      <c r="A32" s="587"/>
      <c r="B32" s="1096" t="s">
        <v>105</v>
      </c>
      <c r="C32" s="1097" t="s">
        <v>931</v>
      </c>
      <c r="D32" s="1098" t="s">
        <v>848</v>
      </c>
      <c r="E32" s="1099">
        <v>53</v>
      </c>
    </row>
    <row r="33" spans="1:5">
      <c r="A33" s="587"/>
      <c r="B33" s="1089" t="s">
        <v>114</v>
      </c>
      <c r="C33" s="1100" t="s">
        <v>932</v>
      </c>
      <c r="D33" s="1098" t="s">
        <v>848</v>
      </c>
      <c r="E33" s="1099">
        <v>64</v>
      </c>
    </row>
    <row r="34" spans="1:5" ht="15.5" thickBot="1">
      <c r="A34" s="587"/>
      <c r="B34" s="1101" t="s">
        <v>288</v>
      </c>
      <c r="C34" s="1102" t="s">
        <v>933</v>
      </c>
      <c r="D34" s="1103" t="s">
        <v>934</v>
      </c>
      <c r="E34" s="1104">
        <v>57.346970613621146</v>
      </c>
    </row>
    <row r="35" spans="1:5" ht="15" thickBot="1">
      <c r="A35" s="587"/>
      <c r="B35" s="1080"/>
      <c r="C35" s="1077" t="s">
        <v>935</v>
      </c>
      <c r="D35" s="1077"/>
      <c r="E35" s="1081"/>
    </row>
    <row r="36" spans="1:5">
      <c r="A36" s="587"/>
      <c r="B36" s="1085" t="s">
        <v>125</v>
      </c>
      <c r="C36" s="1105" t="s">
        <v>936</v>
      </c>
      <c r="D36" s="1086" t="s">
        <v>848</v>
      </c>
      <c r="E36" s="1106">
        <v>62</v>
      </c>
    </row>
    <row r="37" spans="1:5">
      <c r="A37" s="587"/>
      <c r="B37" s="1089" t="s">
        <v>400</v>
      </c>
      <c r="C37" s="1100" t="s">
        <v>937</v>
      </c>
      <c r="D37" s="1090" t="s">
        <v>848</v>
      </c>
      <c r="E37" s="1099">
        <v>48</v>
      </c>
    </row>
    <row r="38" spans="1:5" ht="15">
      <c r="A38" s="587"/>
      <c r="B38" s="1107" t="s">
        <v>401</v>
      </c>
      <c r="C38" s="1105" t="s">
        <v>938</v>
      </c>
      <c r="D38" s="1086" t="s">
        <v>717</v>
      </c>
      <c r="E38" s="1088">
        <v>1854.82</v>
      </c>
    </row>
    <row r="39" spans="1:5" ht="26">
      <c r="A39" s="587"/>
      <c r="B39" s="1108" t="s">
        <v>939</v>
      </c>
      <c r="C39" s="1109" t="s">
        <v>940</v>
      </c>
      <c r="D39" s="1090" t="s">
        <v>722</v>
      </c>
      <c r="E39" s="1091">
        <v>558.71199999999999</v>
      </c>
    </row>
    <row r="40" spans="1:5" ht="15.5">
      <c r="A40" s="587"/>
      <c r="B40" s="1108" t="s">
        <v>941</v>
      </c>
      <c r="C40" s="1109" t="s">
        <v>942</v>
      </c>
      <c r="D40" s="1090" t="s">
        <v>722</v>
      </c>
      <c r="E40" s="1091">
        <v>1296.1079999999999</v>
      </c>
    </row>
    <row r="41" spans="1:5" ht="26">
      <c r="A41" s="587"/>
      <c r="B41" s="1108" t="s">
        <v>943</v>
      </c>
      <c r="C41" s="1109" t="s">
        <v>944</v>
      </c>
      <c r="D41" s="1090" t="s">
        <v>722</v>
      </c>
      <c r="E41" s="1091">
        <v>0</v>
      </c>
    </row>
    <row r="42" spans="1:5" ht="15.5">
      <c r="A42" s="587"/>
      <c r="B42" s="1089" t="s">
        <v>945</v>
      </c>
      <c r="C42" s="1110" t="s">
        <v>946</v>
      </c>
      <c r="D42" s="1090" t="s">
        <v>722</v>
      </c>
      <c r="E42" s="1091">
        <v>0</v>
      </c>
    </row>
    <row r="43" spans="1:5" ht="15">
      <c r="A43" s="587"/>
      <c r="B43" s="1085" t="s">
        <v>127</v>
      </c>
      <c r="C43" s="1111" t="s">
        <v>947</v>
      </c>
      <c r="D43" s="1086" t="s">
        <v>717</v>
      </c>
      <c r="E43" s="1088">
        <v>1822.17</v>
      </c>
    </row>
    <row r="44" spans="1:5" ht="15">
      <c r="A44" s="587"/>
      <c r="B44" s="1085" t="s">
        <v>135</v>
      </c>
      <c r="C44" s="1105" t="s">
        <v>948</v>
      </c>
      <c r="D44" s="1086" t="s">
        <v>717</v>
      </c>
      <c r="E44" s="1088">
        <v>1529.376</v>
      </c>
    </row>
    <row r="45" spans="1:5">
      <c r="A45" s="587"/>
      <c r="B45" s="1089" t="s">
        <v>402</v>
      </c>
      <c r="C45" s="1100" t="s">
        <v>949</v>
      </c>
      <c r="D45" s="1090" t="s">
        <v>848</v>
      </c>
      <c r="E45" s="1099">
        <v>9</v>
      </c>
    </row>
    <row r="46" spans="1:5">
      <c r="A46" s="587"/>
      <c r="B46" s="1089" t="s">
        <v>950</v>
      </c>
      <c r="C46" s="1100" t="s">
        <v>951</v>
      </c>
      <c r="D46" s="1090" t="s">
        <v>848</v>
      </c>
      <c r="E46" s="1099">
        <v>9</v>
      </c>
    </row>
    <row r="47" spans="1:5" ht="15.5">
      <c r="A47" s="587"/>
      <c r="B47" s="1089" t="s">
        <v>952</v>
      </c>
      <c r="C47" s="1112" t="s">
        <v>953</v>
      </c>
      <c r="D47" s="1113" t="s">
        <v>725</v>
      </c>
      <c r="E47" s="1114">
        <v>1529.376</v>
      </c>
    </row>
    <row r="48" spans="1:5">
      <c r="A48" s="587"/>
      <c r="B48" s="1089" t="s">
        <v>622</v>
      </c>
      <c r="C48" s="1100" t="s">
        <v>954</v>
      </c>
      <c r="D48" s="1090" t="s">
        <v>848</v>
      </c>
      <c r="E48" s="1099">
        <v>0</v>
      </c>
    </row>
    <row r="49" spans="1:5" ht="15.5">
      <c r="A49" s="587"/>
      <c r="B49" s="1089" t="s">
        <v>955</v>
      </c>
      <c r="C49" s="1112" t="s">
        <v>956</v>
      </c>
      <c r="D49" s="1113" t="s">
        <v>725</v>
      </c>
      <c r="E49" s="1114">
        <v>0</v>
      </c>
    </row>
    <row r="50" spans="1:5">
      <c r="A50" s="587"/>
      <c r="B50" s="1085" t="s">
        <v>403</v>
      </c>
      <c r="C50" s="1105" t="s">
        <v>957</v>
      </c>
      <c r="D50" s="1086" t="s">
        <v>848</v>
      </c>
      <c r="E50" s="1106">
        <v>0</v>
      </c>
    </row>
    <row r="51" spans="1:5">
      <c r="A51" s="587"/>
      <c r="B51" s="1085" t="s">
        <v>409</v>
      </c>
      <c r="C51" s="1105" t="s">
        <v>958</v>
      </c>
      <c r="D51" s="1086" t="s">
        <v>848</v>
      </c>
      <c r="E51" s="1106">
        <v>10</v>
      </c>
    </row>
    <row r="52" spans="1:5">
      <c r="A52" s="587"/>
      <c r="B52" s="1085" t="s">
        <v>410</v>
      </c>
      <c r="C52" s="1105" t="s">
        <v>959</v>
      </c>
      <c r="D52" s="1086" t="s">
        <v>848</v>
      </c>
      <c r="E52" s="1106">
        <v>6</v>
      </c>
    </row>
    <row r="53" spans="1:5">
      <c r="A53" s="587"/>
      <c r="B53" s="1085" t="s">
        <v>416</v>
      </c>
      <c r="C53" s="1105" t="s">
        <v>960</v>
      </c>
      <c r="D53" s="1086" t="s">
        <v>848</v>
      </c>
      <c r="E53" s="1106">
        <v>0</v>
      </c>
    </row>
    <row r="54" spans="1:5">
      <c r="A54" s="587"/>
      <c r="B54" s="1085" t="s">
        <v>420</v>
      </c>
      <c r="C54" s="1105" t="s">
        <v>961</v>
      </c>
      <c r="D54" s="1090" t="s">
        <v>848</v>
      </c>
      <c r="E54" s="1099">
        <v>200</v>
      </c>
    </row>
    <row r="55" spans="1:5">
      <c r="A55" s="587"/>
      <c r="B55" s="1107" t="s">
        <v>423</v>
      </c>
      <c r="C55" s="1105" t="s">
        <v>962</v>
      </c>
      <c r="D55" s="1086" t="s">
        <v>848</v>
      </c>
      <c r="E55" s="1106">
        <v>1</v>
      </c>
    </row>
    <row r="56" spans="1:5" ht="15.5" thickBot="1">
      <c r="A56" s="587"/>
      <c r="B56" s="1101" t="s">
        <v>438</v>
      </c>
      <c r="C56" s="1102" t="s">
        <v>963</v>
      </c>
      <c r="D56" s="1103" t="s">
        <v>964</v>
      </c>
      <c r="E56" s="1104">
        <v>4</v>
      </c>
    </row>
    <row r="57" spans="1:5" ht="15" thickBot="1">
      <c r="A57" s="587"/>
      <c r="B57" s="1080"/>
      <c r="C57" s="1077" t="s">
        <v>965</v>
      </c>
      <c r="D57" s="1077"/>
      <c r="E57" s="1081"/>
    </row>
    <row r="58" spans="1:5">
      <c r="A58" s="587"/>
      <c r="B58" s="1089" t="s">
        <v>139</v>
      </c>
      <c r="C58" s="1090" t="s">
        <v>966</v>
      </c>
      <c r="D58" s="1090" t="s">
        <v>848</v>
      </c>
      <c r="E58" s="1099">
        <v>54</v>
      </c>
    </row>
    <row r="59" spans="1:5">
      <c r="A59" s="587"/>
      <c r="B59" s="1089" t="s">
        <v>141</v>
      </c>
      <c r="C59" s="1090" t="s">
        <v>967</v>
      </c>
      <c r="D59" s="1090" t="s">
        <v>848</v>
      </c>
      <c r="E59" s="1099">
        <v>7</v>
      </c>
    </row>
    <row r="60" spans="1:5">
      <c r="A60" s="587"/>
      <c r="B60" s="1089" t="s">
        <v>143</v>
      </c>
      <c r="C60" s="1090" t="s">
        <v>968</v>
      </c>
      <c r="D60" s="1090" t="s">
        <v>848</v>
      </c>
      <c r="E60" s="1099">
        <v>15</v>
      </c>
    </row>
    <row r="61" spans="1:5" ht="15">
      <c r="A61" s="587"/>
      <c r="B61" s="1085" t="s">
        <v>451</v>
      </c>
      <c r="C61" s="1086" t="s">
        <v>969</v>
      </c>
      <c r="D61" s="1115" t="s">
        <v>964</v>
      </c>
      <c r="E61" s="1088">
        <v>30.396900509732657</v>
      </c>
    </row>
    <row r="62" spans="1:5">
      <c r="A62" s="587"/>
      <c r="B62" s="1089" t="s">
        <v>455</v>
      </c>
      <c r="C62" s="1090" t="s">
        <v>970</v>
      </c>
      <c r="D62" s="1116" t="s">
        <v>971</v>
      </c>
      <c r="E62" s="1117">
        <f>SUM(E63:E64)</f>
        <v>358.93</v>
      </c>
    </row>
    <row r="63" spans="1:5">
      <c r="A63" s="587"/>
      <c r="B63" s="1118" t="s">
        <v>972</v>
      </c>
      <c r="C63" s="1112" t="s">
        <v>973</v>
      </c>
      <c r="D63" s="1113" t="s">
        <v>971</v>
      </c>
      <c r="E63" s="1114">
        <v>14</v>
      </c>
    </row>
    <row r="64" spans="1:5">
      <c r="A64" s="587"/>
      <c r="B64" s="1118" t="s">
        <v>974</v>
      </c>
      <c r="C64" s="1112" t="s">
        <v>975</v>
      </c>
      <c r="D64" s="1113" t="s">
        <v>971</v>
      </c>
      <c r="E64" s="1114">
        <v>344.93</v>
      </c>
    </row>
    <row r="65" spans="1:5">
      <c r="A65" s="587"/>
      <c r="B65" s="1089" t="s">
        <v>457</v>
      </c>
      <c r="C65" s="1090" t="s">
        <v>976</v>
      </c>
      <c r="D65" s="1090" t="s">
        <v>848</v>
      </c>
      <c r="E65" s="1099">
        <v>7645</v>
      </c>
    </row>
    <row r="66" spans="1:5">
      <c r="A66" s="587"/>
      <c r="B66" s="1089" t="s">
        <v>461</v>
      </c>
      <c r="C66" s="1090" t="s">
        <v>977</v>
      </c>
      <c r="D66" s="1090" t="s">
        <v>848</v>
      </c>
      <c r="E66" s="1099">
        <v>514</v>
      </c>
    </row>
    <row r="67" spans="1:5">
      <c r="A67" s="587"/>
      <c r="B67" s="1089" t="s">
        <v>465</v>
      </c>
      <c r="C67" s="1090" t="s">
        <v>978</v>
      </c>
      <c r="D67" s="1090" t="s">
        <v>848</v>
      </c>
      <c r="E67" s="1099">
        <v>1</v>
      </c>
    </row>
    <row r="68" spans="1:5">
      <c r="A68" s="587"/>
      <c r="B68" s="1089" t="s">
        <v>469</v>
      </c>
      <c r="C68" s="1090" t="s">
        <v>979</v>
      </c>
      <c r="D68" s="1090" t="s">
        <v>848</v>
      </c>
      <c r="E68" s="1099">
        <v>508</v>
      </c>
    </row>
    <row r="69" spans="1:5">
      <c r="A69" s="587"/>
      <c r="B69" s="1089" t="s">
        <v>485</v>
      </c>
      <c r="C69" s="1090" t="s">
        <v>980</v>
      </c>
      <c r="D69" s="1090" t="s">
        <v>848</v>
      </c>
      <c r="E69" s="1119">
        <f>SUM(E70:E72)</f>
        <v>24063</v>
      </c>
    </row>
    <row r="70" spans="1:5">
      <c r="A70" s="587"/>
      <c r="B70" s="1118" t="s">
        <v>981</v>
      </c>
      <c r="C70" s="1112" t="s">
        <v>982</v>
      </c>
      <c r="D70" s="1113" t="s">
        <v>848</v>
      </c>
      <c r="E70" s="1120">
        <v>7933</v>
      </c>
    </row>
    <row r="71" spans="1:5">
      <c r="A71" s="587"/>
      <c r="B71" s="1118" t="s">
        <v>983</v>
      </c>
      <c r="C71" s="1112" t="s">
        <v>984</v>
      </c>
      <c r="D71" s="1113" t="s">
        <v>848</v>
      </c>
      <c r="E71" s="1120">
        <v>14950</v>
      </c>
    </row>
    <row r="72" spans="1:5">
      <c r="A72" s="587"/>
      <c r="B72" s="1118" t="s">
        <v>985</v>
      </c>
      <c r="C72" s="1112" t="s">
        <v>986</v>
      </c>
      <c r="D72" s="1113" t="s">
        <v>848</v>
      </c>
      <c r="E72" s="1120">
        <v>1180</v>
      </c>
    </row>
    <row r="73" spans="1:5">
      <c r="A73" s="587"/>
      <c r="B73" s="1089" t="s">
        <v>487</v>
      </c>
      <c r="C73" s="1090" t="s">
        <v>987</v>
      </c>
      <c r="D73" s="1090" t="s">
        <v>848</v>
      </c>
      <c r="E73" s="1099">
        <v>14512</v>
      </c>
    </row>
    <row r="74" spans="1:5" ht="15" thickBot="1">
      <c r="A74" s="587"/>
      <c r="B74" s="1093" t="s">
        <v>637</v>
      </c>
      <c r="C74" s="1094" t="s">
        <v>988</v>
      </c>
      <c r="D74" s="1094" t="s">
        <v>848</v>
      </c>
      <c r="E74" s="1121">
        <v>197</v>
      </c>
    </row>
    <row r="75" spans="1:5" ht="15" thickBot="1">
      <c r="A75" s="587"/>
      <c r="B75" s="1080"/>
      <c r="C75" s="1077" t="s">
        <v>989</v>
      </c>
      <c r="D75" s="1077"/>
      <c r="E75" s="1081"/>
    </row>
    <row r="76" spans="1:5">
      <c r="A76" s="587"/>
      <c r="B76" s="1089" t="s">
        <v>491</v>
      </c>
      <c r="C76" s="1090" t="s">
        <v>990</v>
      </c>
      <c r="D76" s="1090" t="s">
        <v>848</v>
      </c>
      <c r="E76" s="1099">
        <v>32</v>
      </c>
    </row>
    <row r="77" spans="1:5">
      <c r="A77" s="587"/>
      <c r="B77" s="1089" t="s">
        <v>149</v>
      </c>
      <c r="C77" s="1090" t="s">
        <v>991</v>
      </c>
      <c r="D77" s="1090" t="s">
        <v>848</v>
      </c>
      <c r="E77" s="1099">
        <v>143</v>
      </c>
    </row>
    <row r="78" spans="1:5">
      <c r="A78" s="587"/>
      <c r="B78" s="1089" t="s">
        <v>151</v>
      </c>
      <c r="C78" s="1090" t="s">
        <v>992</v>
      </c>
      <c r="D78" s="1090" t="s">
        <v>848</v>
      </c>
      <c r="E78" s="1099">
        <v>207</v>
      </c>
    </row>
    <row r="79" spans="1:5" ht="15">
      <c r="A79" s="587"/>
      <c r="B79" s="1085" t="s">
        <v>153</v>
      </c>
      <c r="C79" s="1086" t="s">
        <v>993</v>
      </c>
      <c r="D79" s="1115" t="s">
        <v>964</v>
      </c>
      <c r="E79" s="1088">
        <v>28.487561450752878</v>
      </c>
    </row>
    <row r="80" spans="1:5">
      <c r="A80" s="587"/>
      <c r="B80" s="1089" t="s">
        <v>155</v>
      </c>
      <c r="C80" s="1090" t="s">
        <v>994</v>
      </c>
      <c r="D80" s="1090" t="s">
        <v>971</v>
      </c>
      <c r="E80" s="1091">
        <v>265.27999999999997</v>
      </c>
    </row>
    <row r="81" spans="1:5">
      <c r="A81" s="587"/>
      <c r="B81" s="1118" t="s">
        <v>667</v>
      </c>
      <c r="C81" s="1112" t="s">
        <v>995</v>
      </c>
      <c r="D81" s="1113" t="s">
        <v>971</v>
      </c>
      <c r="E81" s="1114">
        <v>37.160000000000004</v>
      </c>
    </row>
    <row r="82" spans="1:5">
      <c r="A82" s="587"/>
      <c r="B82" s="1089" t="s">
        <v>157</v>
      </c>
      <c r="C82" s="1090" t="s">
        <v>996</v>
      </c>
      <c r="D82" s="1090" t="s">
        <v>848</v>
      </c>
      <c r="E82" s="1099">
        <v>5265</v>
      </c>
    </row>
    <row r="83" spans="1:5">
      <c r="A83" s="587"/>
      <c r="B83" s="1089" t="s">
        <v>159</v>
      </c>
      <c r="C83" s="1090" t="s">
        <v>997</v>
      </c>
      <c r="D83" s="1090" t="s">
        <v>848</v>
      </c>
      <c r="E83" s="1119">
        <f>SUM(E84:E86)</f>
        <v>18107</v>
      </c>
    </row>
    <row r="84" spans="1:5">
      <c r="A84" s="587"/>
      <c r="B84" s="1118" t="s">
        <v>506</v>
      </c>
      <c r="C84" s="1112" t="s">
        <v>998</v>
      </c>
      <c r="D84" s="1113" t="s">
        <v>848</v>
      </c>
      <c r="E84" s="1120">
        <v>13028</v>
      </c>
    </row>
    <row r="85" spans="1:5">
      <c r="A85" s="587"/>
      <c r="B85" s="1118" t="s">
        <v>507</v>
      </c>
      <c r="C85" s="1112" t="s">
        <v>999</v>
      </c>
      <c r="D85" s="1113" t="s">
        <v>848</v>
      </c>
      <c r="E85" s="1120">
        <v>4657</v>
      </c>
    </row>
    <row r="86" spans="1:5">
      <c r="A86" s="587"/>
      <c r="B86" s="1118" t="s">
        <v>508</v>
      </c>
      <c r="C86" s="1112" t="s">
        <v>1000</v>
      </c>
      <c r="D86" s="1113" t="s">
        <v>848</v>
      </c>
      <c r="E86" s="1120">
        <v>422</v>
      </c>
    </row>
    <row r="87" spans="1:5" ht="15" thickBot="1">
      <c r="A87" s="587"/>
      <c r="B87" s="1093" t="s">
        <v>161</v>
      </c>
      <c r="C87" s="1094" t="s">
        <v>1001</v>
      </c>
      <c r="D87" s="1094" t="s">
        <v>848</v>
      </c>
      <c r="E87" s="1121">
        <v>204</v>
      </c>
    </row>
    <row r="88" spans="1:5" ht="15" thickBot="1">
      <c r="A88" s="587"/>
      <c r="B88" s="1080"/>
      <c r="C88" s="1077" t="s">
        <v>1002</v>
      </c>
      <c r="D88" s="1077"/>
      <c r="E88" s="1081"/>
    </row>
    <row r="89" spans="1:5">
      <c r="A89" s="587"/>
      <c r="B89" s="1089" t="s">
        <v>193</v>
      </c>
      <c r="C89" s="1090" t="s">
        <v>1003</v>
      </c>
      <c r="D89" s="1090" t="s">
        <v>848</v>
      </c>
      <c r="E89" s="1099">
        <v>3</v>
      </c>
    </row>
    <row r="90" spans="1:5">
      <c r="A90" s="587"/>
      <c r="B90" s="1089" t="s">
        <v>195</v>
      </c>
      <c r="C90" s="1090" t="s">
        <v>1004</v>
      </c>
      <c r="D90" s="1090" t="s">
        <v>848</v>
      </c>
      <c r="E90" s="1099">
        <v>1</v>
      </c>
    </row>
    <row r="91" spans="1:5">
      <c r="A91" s="587"/>
      <c r="B91" s="1089" t="s">
        <v>203</v>
      </c>
      <c r="C91" s="1090" t="s">
        <v>1005</v>
      </c>
      <c r="D91" s="1090" t="s">
        <v>848</v>
      </c>
      <c r="E91" s="1099">
        <v>4</v>
      </c>
    </row>
    <row r="92" spans="1:5" ht="15">
      <c r="A92" s="587"/>
      <c r="B92" s="1089" t="s">
        <v>674</v>
      </c>
      <c r="C92" s="1086" t="s">
        <v>1006</v>
      </c>
      <c r="D92" s="1115" t="s">
        <v>964</v>
      </c>
      <c r="E92" s="1106">
        <v>9</v>
      </c>
    </row>
    <row r="93" spans="1:5">
      <c r="A93" s="587"/>
      <c r="B93" s="1089" t="s">
        <v>676</v>
      </c>
      <c r="C93" s="1090" t="s">
        <v>1007</v>
      </c>
      <c r="D93" s="1090" t="s">
        <v>971</v>
      </c>
      <c r="E93" s="1091">
        <v>80.069999999999993</v>
      </c>
    </row>
    <row r="94" spans="1:5">
      <c r="A94" s="587"/>
      <c r="B94" s="1118" t="s">
        <v>1008</v>
      </c>
      <c r="C94" s="1112" t="s">
        <v>995</v>
      </c>
      <c r="D94" s="1113" t="s">
        <v>971</v>
      </c>
      <c r="E94" s="1120">
        <v>0</v>
      </c>
    </row>
    <row r="95" spans="1:5">
      <c r="A95" s="587"/>
      <c r="B95" s="1089" t="s">
        <v>678</v>
      </c>
      <c r="C95" s="1090" t="s">
        <v>1009</v>
      </c>
      <c r="D95" s="1090" t="s">
        <v>848</v>
      </c>
      <c r="E95" s="1099">
        <v>24</v>
      </c>
    </row>
    <row r="96" spans="1:5">
      <c r="A96" s="587"/>
      <c r="B96" s="1089" t="s">
        <v>680</v>
      </c>
      <c r="C96" s="1090" t="s">
        <v>1010</v>
      </c>
      <c r="D96" s="1090" t="s">
        <v>848</v>
      </c>
      <c r="E96" s="1099">
        <v>50</v>
      </c>
    </row>
    <row r="97" spans="1:5" ht="15" thickBot="1">
      <c r="A97" s="587"/>
      <c r="B97" s="1093" t="s">
        <v>682</v>
      </c>
      <c r="C97" s="1094" t="s">
        <v>1011</v>
      </c>
      <c r="D97" s="1094" t="s">
        <v>848</v>
      </c>
      <c r="E97" s="1121">
        <v>23</v>
      </c>
    </row>
    <row r="98" spans="1:5" ht="15" thickBot="1">
      <c r="A98" s="587"/>
      <c r="B98" s="1080"/>
      <c r="C98" s="1077" t="s">
        <v>1012</v>
      </c>
      <c r="D98" s="1077"/>
      <c r="E98" s="1081"/>
    </row>
    <row r="99" spans="1:5">
      <c r="A99" s="587"/>
      <c r="B99" s="1089" t="s">
        <v>207</v>
      </c>
      <c r="C99" s="1122" t="s">
        <v>1013</v>
      </c>
      <c r="D99" s="1116" t="s">
        <v>848</v>
      </c>
      <c r="E99" s="1123">
        <v>0</v>
      </c>
    </row>
    <row r="100" spans="1:5">
      <c r="A100" s="587"/>
      <c r="B100" s="1089" t="s">
        <v>209</v>
      </c>
      <c r="C100" s="1124" t="s">
        <v>1014</v>
      </c>
      <c r="D100" s="1090" t="s">
        <v>1015</v>
      </c>
      <c r="E100" s="1099">
        <v>0</v>
      </c>
    </row>
    <row r="101" spans="1:5" ht="15.5">
      <c r="A101" s="587"/>
      <c r="B101" s="1089" t="s">
        <v>211</v>
      </c>
      <c r="C101" s="1125" t="s">
        <v>1016</v>
      </c>
      <c r="D101" s="1090" t="s">
        <v>722</v>
      </c>
      <c r="E101" s="1091">
        <v>0</v>
      </c>
    </row>
    <row r="102" spans="1:5">
      <c r="A102" s="587"/>
      <c r="B102" s="1089" t="s">
        <v>1017</v>
      </c>
      <c r="C102" s="1124" t="s">
        <v>1018</v>
      </c>
      <c r="D102" s="1090" t="s">
        <v>848</v>
      </c>
      <c r="E102" s="1099">
        <v>0</v>
      </c>
    </row>
    <row r="103" spans="1:5" ht="15.5">
      <c r="A103" s="587"/>
      <c r="B103" s="1089" t="s">
        <v>1019</v>
      </c>
      <c r="C103" s="1125" t="s">
        <v>1020</v>
      </c>
      <c r="D103" s="1090" t="s">
        <v>722</v>
      </c>
      <c r="E103" s="1091">
        <v>0</v>
      </c>
    </row>
    <row r="104" spans="1:5">
      <c r="A104" s="587"/>
      <c r="B104" s="1089" t="s">
        <v>1021</v>
      </c>
      <c r="C104" s="1124" t="s">
        <v>1022</v>
      </c>
      <c r="D104" s="1090" t="s">
        <v>848</v>
      </c>
      <c r="E104" s="1099">
        <v>31</v>
      </c>
    </row>
    <row r="105" spans="1:5" ht="15.5">
      <c r="A105" s="587"/>
      <c r="B105" s="1089" t="s">
        <v>1023</v>
      </c>
      <c r="C105" s="1125" t="s">
        <v>1024</v>
      </c>
      <c r="D105" s="1090" t="s">
        <v>722</v>
      </c>
      <c r="E105" s="1091">
        <v>235.193330000001</v>
      </c>
    </row>
    <row r="106" spans="1:5">
      <c r="A106" s="587"/>
      <c r="B106" s="1089" t="s">
        <v>1025</v>
      </c>
      <c r="C106" s="1124" t="s">
        <v>1026</v>
      </c>
      <c r="D106" s="1090" t="s">
        <v>848</v>
      </c>
      <c r="E106" s="1099">
        <v>1</v>
      </c>
    </row>
    <row r="107" spans="1:5" ht="15.5">
      <c r="A107" s="587"/>
      <c r="B107" s="1089" t="s">
        <v>1027</v>
      </c>
      <c r="C107" s="1125" t="s">
        <v>1028</v>
      </c>
      <c r="D107" s="1090" t="s">
        <v>722</v>
      </c>
      <c r="E107" s="1091">
        <v>2624.337</v>
      </c>
    </row>
    <row r="108" spans="1:5">
      <c r="A108" s="587"/>
      <c r="B108" s="1089" t="s">
        <v>1029</v>
      </c>
      <c r="C108" s="1125" t="s">
        <v>1030</v>
      </c>
      <c r="D108" s="1090" t="s">
        <v>848</v>
      </c>
      <c r="E108" s="1099">
        <v>37</v>
      </c>
    </row>
    <row r="109" spans="1:5">
      <c r="A109" s="587"/>
      <c r="B109" s="1089" t="s">
        <v>1031</v>
      </c>
      <c r="C109" s="1125" t="s">
        <v>1032</v>
      </c>
      <c r="D109" s="1090" t="s">
        <v>848</v>
      </c>
      <c r="E109" s="1099">
        <v>57</v>
      </c>
    </row>
    <row r="110" spans="1:5">
      <c r="A110" s="587"/>
      <c r="B110" s="1126" t="s">
        <v>1033</v>
      </c>
      <c r="C110" s="1127" t="s">
        <v>1034</v>
      </c>
      <c r="D110" s="1092" t="s">
        <v>848</v>
      </c>
      <c r="E110" s="1128">
        <v>40</v>
      </c>
    </row>
    <row r="111" spans="1:5">
      <c r="A111" s="587"/>
      <c r="B111" s="1129" t="s">
        <v>1035</v>
      </c>
      <c r="C111" s="1130" t="s">
        <v>1036</v>
      </c>
      <c r="D111" s="1131"/>
      <c r="E111" s="1132"/>
    </row>
    <row r="112" spans="1:5">
      <c r="A112" s="587"/>
      <c r="B112" s="1133" t="s">
        <v>1037</v>
      </c>
      <c r="C112" s="1122" t="s">
        <v>1038</v>
      </c>
      <c r="D112" s="1116" t="s">
        <v>908</v>
      </c>
      <c r="E112" s="1134">
        <v>324.8</v>
      </c>
    </row>
    <row r="113" spans="1:5">
      <c r="A113" s="587"/>
      <c r="B113" s="1089" t="s">
        <v>1039</v>
      </c>
      <c r="C113" s="1124" t="s">
        <v>1040</v>
      </c>
      <c r="D113" s="1090" t="s">
        <v>908</v>
      </c>
      <c r="E113" s="1091">
        <v>342.3</v>
      </c>
    </row>
    <row r="114" spans="1:5">
      <c r="A114" s="587"/>
      <c r="B114" s="1089" t="s">
        <v>1041</v>
      </c>
      <c r="C114" s="1124" t="s">
        <v>1042</v>
      </c>
      <c r="D114" s="1090" t="s">
        <v>908</v>
      </c>
      <c r="E114" s="1091">
        <v>35.700000000000003</v>
      </c>
    </row>
    <row r="115" spans="1:5">
      <c r="A115" s="587"/>
      <c r="B115" s="1089" t="s">
        <v>1043</v>
      </c>
      <c r="C115" s="1124" t="s">
        <v>1044</v>
      </c>
      <c r="D115" s="1090" t="s">
        <v>908</v>
      </c>
      <c r="E115" s="1091">
        <v>71.400000000000006</v>
      </c>
    </row>
    <row r="116" spans="1:5">
      <c r="A116" s="587"/>
      <c r="B116" s="1126" t="s">
        <v>1045</v>
      </c>
      <c r="C116" s="1135" t="s">
        <v>1046</v>
      </c>
      <c r="D116" s="1092" t="s">
        <v>908</v>
      </c>
      <c r="E116" s="1136">
        <v>14.9</v>
      </c>
    </row>
    <row r="117" spans="1:5">
      <c r="A117" s="587"/>
      <c r="B117" s="1129" t="s">
        <v>1047</v>
      </c>
      <c r="C117" s="1130" t="s">
        <v>1048</v>
      </c>
      <c r="D117" s="1131"/>
      <c r="E117" s="1137"/>
    </row>
    <row r="118" spans="1:5">
      <c r="A118" s="587"/>
      <c r="B118" s="1133" t="s">
        <v>1049</v>
      </c>
      <c r="C118" s="1122" t="s">
        <v>1050</v>
      </c>
      <c r="D118" s="1116" t="s">
        <v>908</v>
      </c>
      <c r="E118" s="1134">
        <v>4.5</v>
      </c>
    </row>
    <row r="119" spans="1:5">
      <c r="A119" s="587"/>
      <c r="B119" s="1089" t="s">
        <v>1051</v>
      </c>
      <c r="C119" s="1124" t="s">
        <v>1040</v>
      </c>
      <c r="D119" s="1090" t="s">
        <v>908</v>
      </c>
      <c r="E119" s="1091">
        <v>9.1</v>
      </c>
    </row>
    <row r="120" spans="1:5">
      <c r="A120" s="587"/>
      <c r="B120" s="1089" t="s">
        <v>1052</v>
      </c>
      <c r="C120" s="1124" t="s">
        <v>1042</v>
      </c>
      <c r="D120" s="1090" t="s">
        <v>908</v>
      </c>
      <c r="E120" s="1091">
        <v>2.5</v>
      </c>
    </row>
    <row r="121" spans="1:5">
      <c r="A121" s="587"/>
      <c r="B121" s="1089" t="s">
        <v>1053</v>
      </c>
      <c r="C121" s="1124" t="s">
        <v>1044</v>
      </c>
      <c r="D121" s="1090" t="s">
        <v>908</v>
      </c>
      <c r="E121" s="1091">
        <v>10.6</v>
      </c>
    </row>
    <row r="122" spans="1:5">
      <c r="A122" s="587"/>
      <c r="B122" s="1089" t="s">
        <v>1054</v>
      </c>
      <c r="C122" s="1124" t="s">
        <v>1046</v>
      </c>
      <c r="D122" s="1090" t="s">
        <v>908</v>
      </c>
      <c r="E122" s="1091">
        <v>1.3</v>
      </c>
    </row>
    <row r="123" spans="1:5">
      <c r="A123" s="587"/>
      <c r="B123" s="1138" t="s">
        <v>1055</v>
      </c>
      <c r="C123" s="1130" t="s">
        <v>1056</v>
      </c>
      <c r="D123" s="1131"/>
      <c r="E123" s="1139"/>
    </row>
    <row r="124" spans="1:5">
      <c r="A124" s="587"/>
      <c r="B124" s="1089" t="s">
        <v>1057</v>
      </c>
      <c r="C124" s="1124" t="s">
        <v>1058</v>
      </c>
      <c r="D124" s="1090" t="s">
        <v>1059</v>
      </c>
      <c r="E124" s="1091">
        <v>223.880397039</v>
      </c>
    </row>
    <row r="125" spans="1:5">
      <c r="A125" s="587"/>
      <c r="B125" s="1089" t="s">
        <v>1060</v>
      </c>
      <c r="C125" s="1124" t="s">
        <v>1061</v>
      </c>
      <c r="D125" s="1090" t="s">
        <v>1059</v>
      </c>
      <c r="E125" s="1091">
        <v>257.33378970000001</v>
      </c>
    </row>
    <row r="126" spans="1:5">
      <c r="A126" s="587"/>
      <c r="B126" s="1089" t="s">
        <v>1062</v>
      </c>
      <c r="C126" s="1124" t="s">
        <v>1063</v>
      </c>
      <c r="D126" s="1090" t="s">
        <v>1059</v>
      </c>
      <c r="E126" s="1091">
        <v>25.73337897</v>
      </c>
    </row>
    <row r="127" spans="1:5">
      <c r="A127" s="587"/>
      <c r="B127" s="1126" t="s">
        <v>1064</v>
      </c>
      <c r="C127" s="1135" t="s">
        <v>1065</v>
      </c>
      <c r="D127" s="1092" t="s">
        <v>1059</v>
      </c>
      <c r="E127" s="1136">
        <v>2.5733378970000005</v>
      </c>
    </row>
    <row r="128" spans="1:5">
      <c r="A128" s="587"/>
      <c r="B128" s="1129" t="s">
        <v>1066</v>
      </c>
      <c r="C128" s="1130" t="s">
        <v>1067</v>
      </c>
      <c r="D128" s="1131"/>
      <c r="E128" s="1132"/>
    </row>
    <row r="129" spans="1:5">
      <c r="A129" s="587"/>
      <c r="B129" s="1126" t="s">
        <v>1068</v>
      </c>
      <c r="C129" s="1135" t="s">
        <v>1038</v>
      </c>
      <c r="D129" s="1092" t="s">
        <v>1059</v>
      </c>
      <c r="E129" s="1140">
        <f>(E112-E118)*E130/1000</f>
        <v>915.90756149600008</v>
      </c>
    </row>
    <row r="130" spans="1:5" ht="16" thickBot="1">
      <c r="A130" s="587"/>
      <c r="B130" s="1141" t="s">
        <v>1069</v>
      </c>
      <c r="C130" s="1142" t="s">
        <v>1070</v>
      </c>
      <c r="D130" s="1094" t="s">
        <v>722</v>
      </c>
      <c r="E130" s="1143">
        <f>'8'!E39</f>
        <v>2859.5303199999998</v>
      </c>
    </row>
    <row r="131" spans="1:5" ht="15" thickBot="1">
      <c r="A131" s="587"/>
      <c r="B131" s="1080"/>
      <c r="C131" s="1077" t="s">
        <v>1071</v>
      </c>
      <c r="D131" s="1077"/>
      <c r="E131" s="1081"/>
    </row>
    <row r="132" spans="1:5" ht="15.5">
      <c r="A132" s="587"/>
      <c r="B132" s="1144" t="s">
        <v>1072</v>
      </c>
      <c r="C132" s="1145" t="s">
        <v>1073</v>
      </c>
      <c r="D132" s="1090" t="s">
        <v>722</v>
      </c>
      <c r="E132" s="1146">
        <v>0</v>
      </c>
    </row>
    <row r="133" spans="1:5">
      <c r="A133" s="587"/>
      <c r="B133" s="1089" t="s">
        <v>1074</v>
      </c>
      <c r="C133" s="1125" t="s">
        <v>1075</v>
      </c>
      <c r="D133" s="1090" t="s">
        <v>848</v>
      </c>
      <c r="E133" s="1099">
        <v>0</v>
      </c>
    </row>
    <row r="134" spans="1:5">
      <c r="A134" s="587"/>
      <c r="B134" s="1147" t="s">
        <v>1076</v>
      </c>
      <c r="C134" s="1148" t="s">
        <v>1077</v>
      </c>
      <c r="D134" s="1149" t="s">
        <v>848</v>
      </c>
      <c r="E134" s="1128">
        <v>0</v>
      </c>
    </row>
    <row r="135" spans="1:5">
      <c r="A135" s="587"/>
      <c r="B135" s="1129" t="s">
        <v>1078</v>
      </c>
      <c r="C135" s="1130" t="s">
        <v>1079</v>
      </c>
      <c r="D135" s="1131"/>
      <c r="E135" s="1132"/>
    </row>
    <row r="136" spans="1:5">
      <c r="A136" s="587"/>
      <c r="B136" s="1133" t="s">
        <v>1080</v>
      </c>
      <c r="C136" s="1122" t="s">
        <v>1038</v>
      </c>
      <c r="D136" s="1116" t="s">
        <v>908</v>
      </c>
      <c r="E136" s="1134">
        <v>0</v>
      </c>
    </row>
    <row r="137" spans="1:5">
      <c r="A137" s="587"/>
      <c r="B137" s="1089" t="s">
        <v>1081</v>
      </c>
      <c r="C137" s="1124" t="s">
        <v>1040</v>
      </c>
      <c r="D137" s="1090" t="s">
        <v>908</v>
      </c>
      <c r="E137" s="1091">
        <v>0</v>
      </c>
    </row>
    <row r="138" spans="1:5">
      <c r="A138" s="587"/>
      <c r="B138" s="1089" t="s">
        <v>1082</v>
      </c>
      <c r="C138" s="1124" t="s">
        <v>1083</v>
      </c>
      <c r="D138" s="1090" t="s">
        <v>908</v>
      </c>
      <c r="E138" s="1091">
        <v>0</v>
      </c>
    </row>
    <row r="139" spans="1:5">
      <c r="A139" s="587"/>
      <c r="B139" s="1129" t="s">
        <v>1084</v>
      </c>
      <c r="C139" s="1130" t="s">
        <v>1085</v>
      </c>
      <c r="D139" s="1131"/>
      <c r="E139" s="1137"/>
    </row>
    <row r="140" spans="1:5">
      <c r="A140" s="587"/>
      <c r="B140" s="1133" t="s">
        <v>1086</v>
      </c>
      <c r="C140" s="1122" t="s">
        <v>1050</v>
      </c>
      <c r="D140" s="1116" t="s">
        <v>908</v>
      </c>
      <c r="E140" s="1134">
        <v>0</v>
      </c>
    </row>
    <row r="141" spans="1:5">
      <c r="A141" s="587"/>
      <c r="B141" s="1089" t="s">
        <v>1087</v>
      </c>
      <c r="C141" s="1124" t="s">
        <v>1040</v>
      </c>
      <c r="D141" s="1090" t="s">
        <v>908</v>
      </c>
      <c r="E141" s="1091">
        <v>0</v>
      </c>
    </row>
    <row r="142" spans="1:5">
      <c r="A142" s="587"/>
      <c r="B142" s="1126" t="s">
        <v>1088</v>
      </c>
      <c r="C142" s="1135" t="s">
        <v>1083</v>
      </c>
      <c r="D142" s="1092" t="s">
        <v>908</v>
      </c>
      <c r="E142" s="1136">
        <v>0</v>
      </c>
    </row>
    <row r="143" spans="1:5">
      <c r="A143" s="587"/>
      <c r="B143" s="1129" t="s">
        <v>1089</v>
      </c>
      <c r="C143" s="1130" t="s">
        <v>1067</v>
      </c>
      <c r="D143" s="1130"/>
      <c r="E143" s="1132"/>
    </row>
    <row r="144" spans="1:5" ht="15" thickBot="1">
      <c r="A144" s="587"/>
      <c r="B144" s="1093" t="s">
        <v>1090</v>
      </c>
      <c r="C144" s="1124" t="s">
        <v>1038</v>
      </c>
      <c r="D144" s="1090" t="s">
        <v>1059</v>
      </c>
      <c r="E144" s="1117">
        <f>(E136-E140)*E132/1000</f>
        <v>0</v>
      </c>
    </row>
    <row r="145" spans="1:5" ht="15" thickBot="1">
      <c r="A145" s="587"/>
      <c r="B145" s="1080"/>
      <c r="C145" s="1077" t="s">
        <v>1091</v>
      </c>
      <c r="D145" s="1077"/>
      <c r="E145" s="1081"/>
    </row>
    <row r="146" spans="1:5" ht="15.5">
      <c r="A146" s="587"/>
      <c r="B146" s="1144" t="s">
        <v>7</v>
      </c>
      <c r="C146" s="1150" t="s">
        <v>1092</v>
      </c>
      <c r="D146" s="1090" t="s">
        <v>722</v>
      </c>
      <c r="E146" s="1146">
        <v>58.3</v>
      </c>
    </row>
    <row r="147" spans="1:5">
      <c r="A147" s="587"/>
      <c r="B147" s="1089" t="s">
        <v>1093</v>
      </c>
      <c r="C147" s="1151" t="s">
        <v>1094</v>
      </c>
      <c r="D147" s="1152" t="s">
        <v>826</v>
      </c>
      <c r="E147" s="1153">
        <v>0.98499999999999999</v>
      </c>
    </row>
    <row r="148" spans="1:5">
      <c r="A148" s="587"/>
      <c r="B148" s="1089" t="s">
        <v>1095</v>
      </c>
      <c r="C148" s="1151" t="s">
        <v>1096</v>
      </c>
      <c r="D148" s="1090" t="s">
        <v>1097</v>
      </c>
      <c r="E148" s="1091">
        <v>0.90400000000000003</v>
      </c>
    </row>
    <row r="149" spans="1:5" ht="15" thickBot="1">
      <c r="A149" s="587"/>
      <c r="B149" s="1154" t="s">
        <v>1098</v>
      </c>
      <c r="C149" s="1155" t="s">
        <v>1099</v>
      </c>
      <c r="D149" s="1156" t="s">
        <v>848</v>
      </c>
      <c r="E149" s="1157">
        <v>0</v>
      </c>
    </row>
    <row r="150" spans="1:5">
      <c r="A150" s="587"/>
      <c r="B150" s="1158" t="s">
        <v>1100</v>
      </c>
      <c r="C150" s="1159" t="s">
        <v>1101</v>
      </c>
      <c r="D150" s="1159"/>
      <c r="E150" s="1160"/>
    </row>
    <row r="151" spans="1:5" ht="15.5">
      <c r="A151" s="587"/>
      <c r="B151" s="1133" t="s">
        <v>1102</v>
      </c>
      <c r="C151" s="1161" t="s">
        <v>1103</v>
      </c>
      <c r="D151" s="1090" t="s">
        <v>722</v>
      </c>
      <c r="E151" s="1091">
        <v>58.3</v>
      </c>
    </row>
    <row r="152" spans="1:5">
      <c r="A152" s="587"/>
      <c r="B152" s="1089" t="s">
        <v>1104</v>
      </c>
      <c r="C152" s="1151" t="s">
        <v>1105</v>
      </c>
      <c r="D152" s="1152" t="s">
        <v>826</v>
      </c>
      <c r="E152" s="1153">
        <v>0.98499999999999999</v>
      </c>
    </row>
    <row r="153" spans="1:5">
      <c r="A153" s="587"/>
      <c r="B153" s="1133" t="s">
        <v>1106</v>
      </c>
      <c r="C153" s="1162" t="s">
        <v>1107</v>
      </c>
      <c r="D153" s="1156" t="s">
        <v>1097</v>
      </c>
      <c r="E153" s="1091">
        <v>0.90400000000000003</v>
      </c>
    </row>
    <row r="154" spans="1:5" ht="15" thickBot="1">
      <c r="A154" s="587"/>
      <c r="B154" s="1126" t="s">
        <v>1108</v>
      </c>
      <c r="C154" s="1163" t="s">
        <v>1109</v>
      </c>
      <c r="D154" s="1092" t="s">
        <v>848</v>
      </c>
      <c r="E154" s="1128">
        <v>22</v>
      </c>
    </row>
    <row r="155" spans="1:5">
      <c r="A155" s="587"/>
      <c r="B155" s="1158" t="s">
        <v>1110</v>
      </c>
      <c r="C155" s="1159" t="s">
        <v>1111</v>
      </c>
      <c r="D155" s="1159"/>
      <c r="E155" s="1164"/>
    </row>
    <row r="156" spans="1:5" ht="15.5">
      <c r="A156" s="587"/>
      <c r="B156" s="1089" t="s">
        <v>1112</v>
      </c>
      <c r="C156" s="1151" t="s">
        <v>1113</v>
      </c>
      <c r="D156" s="1090" t="s">
        <v>722</v>
      </c>
      <c r="E156" s="1091">
        <v>16.2</v>
      </c>
    </row>
    <row r="157" spans="1:5">
      <c r="A157" s="587"/>
      <c r="B157" s="1089" t="s">
        <v>1114</v>
      </c>
      <c r="C157" s="1151" t="s">
        <v>1115</v>
      </c>
      <c r="D157" s="1152" t="s">
        <v>826</v>
      </c>
      <c r="E157" s="1153">
        <v>0.94399999999999995</v>
      </c>
    </row>
    <row r="158" spans="1:5">
      <c r="A158" s="587"/>
      <c r="B158" s="1089" t="s">
        <v>1116</v>
      </c>
      <c r="C158" s="1162" t="s">
        <v>1117</v>
      </c>
      <c r="D158" s="1156" t="s">
        <v>1097</v>
      </c>
      <c r="E158" s="1091">
        <v>0.35799999999999998</v>
      </c>
    </row>
    <row r="159" spans="1:5" ht="15" thickBot="1">
      <c r="A159" s="587"/>
      <c r="B159" s="1126" t="s">
        <v>1118</v>
      </c>
      <c r="C159" s="1163" t="s">
        <v>1119</v>
      </c>
      <c r="D159" s="1092" t="s">
        <v>848</v>
      </c>
      <c r="E159" s="1128">
        <v>38</v>
      </c>
    </row>
    <row r="160" spans="1:5">
      <c r="A160" s="587"/>
      <c r="B160" s="1158" t="s">
        <v>1120</v>
      </c>
      <c r="C160" s="1159" t="s">
        <v>1121</v>
      </c>
      <c r="D160" s="1159"/>
      <c r="E160" s="1165"/>
    </row>
    <row r="161" spans="1:5" ht="15.5">
      <c r="A161" s="587"/>
      <c r="B161" s="1089" t="s">
        <v>1122</v>
      </c>
      <c r="C161" s="1166" t="s">
        <v>1123</v>
      </c>
      <c r="D161" s="1090" t="s">
        <v>722</v>
      </c>
      <c r="E161" s="1091">
        <v>10.1</v>
      </c>
    </row>
    <row r="162" spans="1:5">
      <c r="A162" s="587"/>
      <c r="B162" s="1089" t="s">
        <v>1124</v>
      </c>
      <c r="C162" s="1166" t="s">
        <v>1125</v>
      </c>
      <c r="D162" s="1090" t="s">
        <v>826</v>
      </c>
      <c r="E162" s="1153">
        <v>0.96499999999999997</v>
      </c>
    </row>
    <row r="163" spans="1:5">
      <c r="A163" s="587"/>
      <c r="B163" s="1089" t="s">
        <v>1126</v>
      </c>
      <c r="C163" s="1166" t="s">
        <v>1127</v>
      </c>
      <c r="D163" s="1090" t="s">
        <v>1128</v>
      </c>
      <c r="E163" s="1091">
        <v>0.35799999999999998</v>
      </c>
    </row>
    <row r="164" spans="1:5" ht="15" thickBot="1">
      <c r="A164" s="587"/>
      <c r="B164" s="1126" t="s">
        <v>1129</v>
      </c>
      <c r="C164" s="1163" t="s">
        <v>1130</v>
      </c>
      <c r="D164" s="1092" t="s">
        <v>848</v>
      </c>
      <c r="E164" s="1128">
        <v>18</v>
      </c>
    </row>
    <row r="165" spans="1:5">
      <c r="A165" s="587"/>
      <c r="B165" s="1158" t="s">
        <v>1131</v>
      </c>
      <c r="C165" s="1167" t="s">
        <v>1132</v>
      </c>
      <c r="D165" s="1168"/>
      <c r="E165" s="1169"/>
    </row>
    <row r="166" spans="1:5" ht="15.5">
      <c r="A166" s="587"/>
      <c r="B166" s="1089" t="s">
        <v>1133</v>
      </c>
      <c r="C166" s="1151" t="s">
        <v>1134</v>
      </c>
      <c r="D166" s="1090" t="s">
        <v>722</v>
      </c>
      <c r="E166" s="1091">
        <v>1.88</v>
      </c>
    </row>
    <row r="167" spans="1:5">
      <c r="A167" s="587"/>
      <c r="B167" s="1089" t="s">
        <v>1135</v>
      </c>
      <c r="C167" s="1151" t="s">
        <v>1136</v>
      </c>
      <c r="D167" s="1152" t="s">
        <v>826</v>
      </c>
      <c r="E167" s="1153">
        <v>0.81</v>
      </c>
    </row>
    <row r="168" spans="1:5">
      <c r="A168" s="587"/>
      <c r="B168" s="1133" t="s">
        <v>1137</v>
      </c>
      <c r="C168" s="1162" t="s">
        <v>1138</v>
      </c>
      <c r="D168" s="1156" t="s">
        <v>1097</v>
      </c>
      <c r="E168" s="1091">
        <v>0.35799999999999998</v>
      </c>
    </row>
    <row r="169" spans="1:5" ht="15" thickBot="1">
      <c r="A169" s="587"/>
      <c r="B169" s="1126" t="s">
        <v>1139</v>
      </c>
      <c r="C169" s="1163" t="s">
        <v>1140</v>
      </c>
      <c r="D169" s="1092" t="s">
        <v>848</v>
      </c>
      <c r="E169" s="1128">
        <v>10</v>
      </c>
    </row>
    <row r="170" spans="1:5">
      <c r="A170" s="587"/>
      <c r="B170" s="1158" t="s">
        <v>1141</v>
      </c>
      <c r="C170" s="1159" t="s">
        <v>1142</v>
      </c>
      <c r="D170" s="1159"/>
      <c r="E170" s="1164"/>
    </row>
    <row r="171" spans="1:5" ht="15.5">
      <c r="A171" s="587"/>
      <c r="B171" s="1089" t="s">
        <v>1143</v>
      </c>
      <c r="C171" s="1170" t="s">
        <v>1144</v>
      </c>
      <c r="D171" s="1090" t="s">
        <v>722</v>
      </c>
      <c r="E171" s="1091">
        <v>0</v>
      </c>
    </row>
    <row r="172" spans="1:5">
      <c r="A172" s="587"/>
      <c r="B172" s="1089" t="s">
        <v>1145</v>
      </c>
      <c r="C172" s="1171" t="s">
        <v>1146</v>
      </c>
      <c r="D172" s="1152" t="s">
        <v>826</v>
      </c>
      <c r="E172" s="1153">
        <v>0</v>
      </c>
    </row>
    <row r="173" spans="1:5">
      <c r="A173" s="587"/>
      <c r="B173" s="1089" t="s">
        <v>1147</v>
      </c>
      <c r="C173" s="1171" t="s">
        <v>1148</v>
      </c>
      <c r="D173" s="1116" t="s">
        <v>1097</v>
      </c>
      <c r="E173" s="1091">
        <v>0</v>
      </c>
    </row>
    <row r="174" spans="1:5">
      <c r="A174" s="587"/>
      <c r="B174" s="1089" t="s">
        <v>1149</v>
      </c>
      <c r="C174" s="1172" t="s">
        <v>1150</v>
      </c>
      <c r="D174" s="1156" t="s">
        <v>1097</v>
      </c>
      <c r="E174" s="1091">
        <v>0</v>
      </c>
    </row>
    <row r="175" spans="1:5" ht="15" thickBot="1">
      <c r="A175" s="587"/>
      <c r="B175" s="1126" t="s">
        <v>1151</v>
      </c>
      <c r="C175" s="1163" t="s">
        <v>1099</v>
      </c>
      <c r="D175" s="1092" t="s">
        <v>848</v>
      </c>
      <c r="E175" s="1128">
        <v>0</v>
      </c>
    </row>
    <row r="176" spans="1:5">
      <c r="A176" s="587"/>
      <c r="B176" s="1158" t="s">
        <v>1152</v>
      </c>
      <c r="C176" s="1159" t="s">
        <v>1153</v>
      </c>
      <c r="D176" s="1159"/>
      <c r="E176" s="1164"/>
    </row>
    <row r="177" spans="1:5" ht="15.5">
      <c r="A177" s="587"/>
      <c r="B177" s="1173" t="s">
        <v>1154</v>
      </c>
      <c r="C177" s="1170" t="s">
        <v>1155</v>
      </c>
      <c r="D177" s="1090" t="s">
        <v>722</v>
      </c>
      <c r="E177" s="1091">
        <v>0.64300000000000002</v>
      </c>
    </row>
    <row r="178" spans="1:5">
      <c r="A178" s="587"/>
      <c r="B178" s="1173" t="s">
        <v>1156</v>
      </c>
      <c r="C178" s="1171" t="s">
        <v>1157</v>
      </c>
      <c r="D178" s="1152" t="s">
        <v>826</v>
      </c>
      <c r="E178" s="1153">
        <v>6.5000000000000002E-2</v>
      </c>
    </row>
    <row r="179" spans="1:5">
      <c r="A179" s="587"/>
      <c r="B179" s="1173" t="s">
        <v>1158</v>
      </c>
      <c r="C179" s="1171" t="s">
        <v>1159</v>
      </c>
      <c r="D179" s="1116" t="s">
        <v>1097</v>
      </c>
      <c r="E179" s="1091">
        <v>0.60099999999999998</v>
      </c>
    </row>
    <row r="180" spans="1:5">
      <c r="A180" s="587"/>
      <c r="B180" s="1173" t="s">
        <v>1160</v>
      </c>
      <c r="C180" s="1171" t="s">
        <v>1161</v>
      </c>
      <c r="D180" s="1116" t="s">
        <v>1097</v>
      </c>
      <c r="E180" s="1091">
        <v>0</v>
      </c>
    </row>
    <row r="181" spans="1:5">
      <c r="A181" s="587"/>
      <c r="B181" s="1173" t="s">
        <v>1162</v>
      </c>
      <c r="C181" s="1171" t="s">
        <v>1163</v>
      </c>
      <c r="D181" s="1116" t="s">
        <v>1097</v>
      </c>
      <c r="E181" s="1091">
        <v>0.60099999999999998</v>
      </c>
    </row>
    <row r="182" spans="1:5">
      <c r="A182" s="587"/>
      <c r="B182" s="1173" t="s">
        <v>1164</v>
      </c>
      <c r="C182" s="1171" t="s">
        <v>1150</v>
      </c>
      <c r="D182" s="1116" t="s">
        <v>1097</v>
      </c>
      <c r="E182" s="1091">
        <v>0.60099999999999998</v>
      </c>
    </row>
    <row r="183" spans="1:5" ht="15" thickBot="1">
      <c r="A183" s="587"/>
      <c r="B183" s="1093" t="s">
        <v>1165</v>
      </c>
      <c r="C183" s="1174" t="s">
        <v>1099</v>
      </c>
      <c r="D183" s="1094" t="s">
        <v>848</v>
      </c>
      <c r="E183" s="1121">
        <v>0</v>
      </c>
    </row>
    <row r="184" spans="1:5" ht="15" thickBot="1">
      <c r="A184" s="587"/>
      <c r="B184" s="1080"/>
      <c r="C184" s="1077" t="s">
        <v>1166</v>
      </c>
      <c r="D184" s="1077"/>
      <c r="E184" s="1081"/>
    </row>
    <row r="185" spans="1:5">
      <c r="A185" s="587"/>
      <c r="B185" s="1144" t="s">
        <v>1167</v>
      </c>
      <c r="C185" s="1175" t="s">
        <v>1168</v>
      </c>
      <c r="D185" s="1176" t="s">
        <v>848</v>
      </c>
      <c r="E185" s="1177">
        <f>SUM(E186:E190)</f>
        <v>60</v>
      </c>
    </row>
    <row r="186" spans="1:5">
      <c r="A186" s="587"/>
      <c r="B186" s="1089" t="s">
        <v>1169</v>
      </c>
      <c r="C186" s="1100" t="s">
        <v>1170</v>
      </c>
      <c r="D186" s="1178" t="s">
        <v>848</v>
      </c>
      <c r="E186" s="1099">
        <v>0</v>
      </c>
    </row>
    <row r="187" spans="1:5">
      <c r="A187" s="587"/>
      <c r="B187" s="1089" t="s">
        <v>1171</v>
      </c>
      <c r="C187" s="1100" t="s">
        <v>1172</v>
      </c>
      <c r="D187" s="1178" t="s">
        <v>848</v>
      </c>
      <c r="E187" s="1099">
        <v>5</v>
      </c>
    </row>
    <row r="188" spans="1:5">
      <c r="A188" s="587"/>
      <c r="B188" s="1089" t="s">
        <v>1173</v>
      </c>
      <c r="C188" s="1100" t="s">
        <v>1174</v>
      </c>
      <c r="D188" s="1178" t="s">
        <v>848</v>
      </c>
      <c r="E188" s="1099">
        <v>3</v>
      </c>
    </row>
    <row r="189" spans="1:5">
      <c r="A189" s="587"/>
      <c r="B189" s="1089" t="s">
        <v>1175</v>
      </c>
      <c r="C189" s="1100" t="s">
        <v>1176</v>
      </c>
      <c r="D189" s="1178" t="s">
        <v>848</v>
      </c>
      <c r="E189" s="1099">
        <v>30</v>
      </c>
    </row>
    <row r="190" spans="1:5">
      <c r="A190" s="587"/>
      <c r="B190" s="1089" t="s">
        <v>1177</v>
      </c>
      <c r="C190" s="1100" t="s">
        <v>1178</v>
      </c>
      <c r="D190" s="1178" t="s">
        <v>848</v>
      </c>
      <c r="E190" s="1119">
        <f>SUM(E191:E195)</f>
        <v>22</v>
      </c>
    </row>
    <row r="191" spans="1:5">
      <c r="A191" s="587"/>
      <c r="B191" s="1118" t="s">
        <v>1179</v>
      </c>
      <c r="C191" s="1112" t="s">
        <v>1180</v>
      </c>
      <c r="D191" s="1152" t="s">
        <v>848</v>
      </c>
      <c r="E191" s="1120">
        <v>0</v>
      </c>
    </row>
    <row r="192" spans="1:5">
      <c r="A192" s="587"/>
      <c r="B192" s="1118" t="s">
        <v>1181</v>
      </c>
      <c r="C192" s="1112" t="s">
        <v>1182</v>
      </c>
      <c r="D192" s="1152" t="s">
        <v>848</v>
      </c>
      <c r="E192" s="1120">
        <v>1</v>
      </c>
    </row>
    <row r="193" spans="1:5">
      <c r="A193" s="587"/>
      <c r="B193" s="1118" t="s">
        <v>1183</v>
      </c>
      <c r="C193" s="1112" t="s">
        <v>1184</v>
      </c>
      <c r="D193" s="1152" t="s">
        <v>848</v>
      </c>
      <c r="E193" s="1120">
        <v>5</v>
      </c>
    </row>
    <row r="194" spans="1:5">
      <c r="A194" s="587"/>
      <c r="B194" s="1118" t="s">
        <v>1185</v>
      </c>
      <c r="C194" s="1112" t="s">
        <v>1186</v>
      </c>
      <c r="D194" s="1152" t="s">
        <v>848</v>
      </c>
      <c r="E194" s="1120">
        <v>3</v>
      </c>
    </row>
    <row r="195" spans="1:5" ht="15" thickBot="1">
      <c r="A195" s="587"/>
      <c r="B195" s="1179" t="s">
        <v>1187</v>
      </c>
      <c r="C195" s="1180" t="s">
        <v>1188</v>
      </c>
      <c r="D195" s="1181" t="s">
        <v>848</v>
      </c>
      <c r="E195" s="1182">
        <v>13</v>
      </c>
    </row>
    <row r="196" spans="1:5">
      <c r="A196" s="587"/>
      <c r="B196" s="1183"/>
      <c r="C196" s="1183"/>
      <c r="D196" s="1183"/>
      <c r="E196" s="1184"/>
    </row>
    <row r="197" spans="1:5" ht="15">
      <c r="A197" s="587"/>
      <c r="B197" s="1185" t="s">
        <v>1189</v>
      </c>
      <c r="C197" s="75" t="s">
        <v>1190</v>
      </c>
      <c r="D197" s="587"/>
      <c r="E197" s="587"/>
    </row>
    <row r="198" spans="1:5">
      <c r="A198" s="587"/>
      <c r="B198" s="1186" t="s">
        <v>1191</v>
      </c>
      <c r="C198" s="75" t="s">
        <v>1192</v>
      </c>
      <c r="D198" s="587"/>
      <c r="E198" s="587"/>
    </row>
  </sheetData>
  <pageMargins left="0.7" right="0.7" top="0.75" bottom="0.75" header="0.3" footer="0.3"/>
  <pageSetup paperSize="9" scale="6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20D07-D78A-49FF-B172-21614200320C}">
  <sheetPr>
    <tabColor theme="0" tint="-0.14999847407452621"/>
    <pageSetUpPr fitToPage="1"/>
  </sheetPr>
  <dimension ref="A1:G43"/>
  <sheetViews>
    <sheetView zoomScale="70" zoomScaleNormal="70" workbookViewId="0">
      <selection activeCell="B9" sqref="B9"/>
    </sheetView>
  </sheetViews>
  <sheetFormatPr defaultRowHeight="14.5"/>
  <cols>
    <col min="2" max="2" width="8" customWidth="1"/>
    <col min="3" max="3" width="88.54296875" customWidth="1"/>
    <col min="4" max="4" width="17.26953125" customWidth="1"/>
    <col min="5" max="6" width="24" customWidth="1"/>
    <col min="7" max="7" width="29.1796875" customWidth="1"/>
  </cols>
  <sheetData>
    <row r="1" spans="1:7">
      <c r="A1" s="587"/>
      <c r="B1" s="587"/>
      <c r="C1" s="587"/>
      <c r="D1" s="587"/>
      <c r="E1" s="587"/>
      <c r="F1" s="587"/>
      <c r="G1" s="587"/>
    </row>
    <row r="2" spans="1:7" ht="57.5">
      <c r="A2" s="587"/>
      <c r="B2" s="587"/>
      <c r="C2" s="587"/>
      <c r="D2" s="587"/>
      <c r="E2" s="587"/>
      <c r="F2" s="587"/>
      <c r="G2" s="1" t="s">
        <v>1193</v>
      </c>
    </row>
    <row r="3" spans="1:7">
      <c r="A3" s="587"/>
      <c r="B3" s="587"/>
      <c r="C3" s="32" t="s">
        <v>1331</v>
      </c>
      <c r="D3" s="587"/>
      <c r="E3" s="587"/>
      <c r="F3" s="587"/>
      <c r="G3" s="587"/>
    </row>
    <row r="4" spans="1:7">
      <c r="A4" s="587"/>
      <c r="B4" s="587"/>
      <c r="C4" s="32" t="s">
        <v>1332</v>
      </c>
      <c r="D4" s="587"/>
      <c r="E4" s="587"/>
      <c r="F4" s="587"/>
      <c r="G4" s="587"/>
    </row>
    <row r="5" spans="1:7">
      <c r="A5" s="587"/>
      <c r="B5" s="587"/>
      <c r="C5" s="587"/>
      <c r="D5" s="587"/>
      <c r="E5" s="587"/>
      <c r="F5" s="587"/>
      <c r="G5" s="587"/>
    </row>
    <row r="6" spans="1:7">
      <c r="A6" s="587"/>
      <c r="B6" s="587"/>
      <c r="C6" s="1187" t="s">
        <v>1194</v>
      </c>
      <c r="D6" s="587"/>
      <c r="E6" s="587"/>
      <c r="F6" s="587"/>
      <c r="G6" s="587"/>
    </row>
    <row r="7" spans="1:7">
      <c r="A7" s="587"/>
      <c r="B7" s="587"/>
      <c r="C7" s="1187"/>
      <c r="D7" s="587"/>
      <c r="E7" s="587"/>
      <c r="F7" s="587"/>
      <c r="G7" s="587"/>
    </row>
    <row r="8" spans="1:7" ht="15" thickBot="1">
      <c r="A8" s="587"/>
      <c r="B8" s="587"/>
      <c r="C8" s="587"/>
      <c r="D8" s="587"/>
      <c r="E8" s="587"/>
      <c r="F8" s="587"/>
      <c r="G8" s="587"/>
    </row>
    <row r="9" spans="1:7" ht="15" thickBot="1">
      <c r="A9" s="587"/>
      <c r="B9" s="1188" t="s">
        <v>2</v>
      </c>
      <c r="C9" s="1188" t="s">
        <v>1195</v>
      </c>
      <c r="D9" s="1189" t="s">
        <v>714</v>
      </c>
      <c r="E9" s="1318" t="s">
        <v>59</v>
      </c>
      <c r="F9" s="1319"/>
      <c r="G9" s="1191" t="s">
        <v>1196</v>
      </c>
    </row>
    <row r="10" spans="1:7" ht="26.5" thickBot="1">
      <c r="A10" s="587"/>
      <c r="B10" s="1188"/>
      <c r="C10" s="1188"/>
      <c r="D10" s="1189"/>
      <c r="E10" s="1192" t="s">
        <v>1197</v>
      </c>
      <c r="F10" s="1189" t="s">
        <v>1198</v>
      </c>
      <c r="G10" s="1191"/>
    </row>
    <row r="11" spans="1:7" ht="15" thickBot="1">
      <c r="A11" s="587"/>
      <c r="B11" s="1188" t="s">
        <v>1199</v>
      </c>
      <c r="C11" s="1188" t="s">
        <v>1200</v>
      </c>
      <c r="D11" s="1188" t="s">
        <v>1201</v>
      </c>
      <c r="E11" s="1193">
        <f>E12+E26</f>
        <v>109.2</v>
      </c>
      <c r="F11" s="1193">
        <f>F12+F26</f>
        <v>116.74999999999999</v>
      </c>
      <c r="G11" s="1191"/>
    </row>
    <row r="12" spans="1:7" ht="15" thickBot="1">
      <c r="A12" s="587"/>
      <c r="B12" s="1194" t="s">
        <v>1202</v>
      </c>
      <c r="C12" s="1194" t="s">
        <v>1203</v>
      </c>
      <c r="D12" s="1194" t="s">
        <v>1201</v>
      </c>
      <c r="E12" s="1195">
        <f>E14+E18+E22+E23+E24+E25</f>
        <v>107.35957447967645</v>
      </c>
      <c r="F12" s="1195">
        <f>F14+F18+F22+F23+F24+F25</f>
        <v>114.93342060813438</v>
      </c>
      <c r="G12" s="1196"/>
    </row>
    <row r="13" spans="1:7" ht="15" thickBot="1">
      <c r="A13" s="587"/>
      <c r="B13" s="1197" t="s">
        <v>1204</v>
      </c>
      <c r="C13" s="1197" t="s">
        <v>1205</v>
      </c>
      <c r="D13" s="1197" t="s">
        <v>1201</v>
      </c>
      <c r="E13" s="1198">
        <f>E14+E18+E23+E22</f>
        <v>71.150000000000006</v>
      </c>
      <c r="F13" s="1198">
        <f>F14+F18+F23+F22</f>
        <v>74.944676729442818</v>
      </c>
      <c r="G13" s="1199"/>
    </row>
    <row r="14" spans="1:7">
      <c r="A14" s="587"/>
      <c r="B14" s="1200" t="s">
        <v>107</v>
      </c>
      <c r="C14" s="1200" t="s">
        <v>1206</v>
      </c>
      <c r="D14" s="1201" t="s">
        <v>1201</v>
      </c>
      <c r="E14" s="1202">
        <f>SUM(E15:E17)</f>
        <v>20.96</v>
      </c>
      <c r="F14" s="1202">
        <f>SUM(F15:F17)</f>
        <v>22.473535414305633</v>
      </c>
      <c r="G14" s="1203"/>
    </row>
    <row r="15" spans="1:7">
      <c r="A15" s="587"/>
      <c r="B15" s="1204" t="s">
        <v>1207</v>
      </c>
      <c r="C15" s="1205" t="s">
        <v>1208</v>
      </c>
      <c r="D15" s="1204" t="s">
        <v>1201</v>
      </c>
      <c r="E15" s="1206">
        <v>6.15</v>
      </c>
      <c r="F15" s="1206">
        <v>6</v>
      </c>
      <c r="G15" s="1207"/>
    </row>
    <row r="16" spans="1:7">
      <c r="A16" s="587"/>
      <c r="B16" s="1204" t="s">
        <v>1209</v>
      </c>
      <c r="C16" s="1205" t="s">
        <v>1210</v>
      </c>
      <c r="D16" s="1204" t="s">
        <v>1201</v>
      </c>
      <c r="E16" s="1206">
        <v>2.7300000000000004</v>
      </c>
      <c r="F16" s="1206">
        <v>2.6172438672438672</v>
      </c>
      <c r="G16" s="1207"/>
    </row>
    <row r="17" spans="1:7" ht="15" thickBot="1">
      <c r="A17" s="587"/>
      <c r="B17" s="1208" t="s">
        <v>1211</v>
      </c>
      <c r="C17" s="1209" t="s">
        <v>1212</v>
      </c>
      <c r="D17" s="1208" t="s">
        <v>1201</v>
      </c>
      <c r="E17" s="1210">
        <v>12.079999999999998</v>
      </c>
      <c r="F17" s="1210">
        <v>13.856291547061765</v>
      </c>
      <c r="G17" s="1211"/>
    </row>
    <row r="18" spans="1:7" ht="40.5">
      <c r="A18" s="587"/>
      <c r="B18" s="1212" t="s">
        <v>109</v>
      </c>
      <c r="C18" s="1212" t="s">
        <v>1213</v>
      </c>
      <c r="D18" s="1213" t="s">
        <v>1201</v>
      </c>
      <c r="E18" s="1214">
        <f>SUM(E19:E21)</f>
        <v>44.46</v>
      </c>
      <c r="F18" s="1214">
        <f>SUM(F19:F21)</f>
        <v>44.768434770934057</v>
      </c>
      <c r="G18" s="1215"/>
    </row>
    <row r="19" spans="1:7">
      <c r="A19" s="587"/>
      <c r="B19" s="1204" t="s">
        <v>1214</v>
      </c>
      <c r="C19" s="1205" t="s">
        <v>1215</v>
      </c>
      <c r="D19" s="1204" t="s">
        <v>1201</v>
      </c>
      <c r="E19" s="1206">
        <v>19.63</v>
      </c>
      <c r="F19" s="1206">
        <v>19.523725944423536</v>
      </c>
      <c r="G19" s="1207"/>
    </row>
    <row r="20" spans="1:7">
      <c r="A20" s="587"/>
      <c r="B20" s="1204" t="s">
        <v>1216</v>
      </c>
      <c r="C20" s="1205" t="s">
        <v>1217</v>
      </c>
      <c r="D20" s="1204" t="s">
        <v>1201</v>
      </c>
      <c r="E20" s="1206">
        <v>18.43</v>
      </c>
      <c r="F20" s="1206">
        <v>19.244708826510522</v>
      </c>
      <c r="G20" s="1207"/>
    </row>
    <row r="21" spans="1:7" ht="15" thickBot="1">
      <c r="A21" s="587"/>
      <c r="B21" s="1204" t="s">
        <v>1218</v>
      </c>
      <c r="C21" s="1205" t="s">
        <v>1219</v>
      </c>
      <c r="D21" s="1204" t="s">
        <v>1201</v>
      </c>
      <c r="E21" s="1206">
        <v>6.4</v>
      </c>
      <c r="F21" s="1206">
        <v>6</v>
      </c>
      <c r="G21" s="1207"/>
    </row>
    <row r="22" spans="1:7" ht="15" thickBot="1">
      <c r="A22" s="587"/>
      <c r="B22" s="1216" t="s">
        <v>111</v>
      </c>
      <c r="C22" s="1216" t="s">
        <v>1220</v>
      </c>
      <c r="D22" s="1217" t="s">
        <v>1201</v>
      </c>
      <c r="E22" s="1218">
        <v>1.98</v>
      </c>
      <c r="F22" s="1218">
        <v>1.8234949673568295</v>
      </c>
      <c r="G22" s="1191"/>
    </row>
    <row r="23" spans="1:7" ht="15" thickBot="1">
      <c r="A23" s="587"/>
      <c r="B23" s="1216" t="s">
        <v>113</v>
      </c>
      <c r="C23" s="1219" t="s">
        <v>1221</v>
      </c>
      <c r="D23" s="1216" t="s">
        <v>1201</v>
      </c>
      <c r="E23" s="1218">
        <v>3.75</v>
      </c>
      <c r="F23" s="1218">
        <v>5.8792115768463074</v>
      </c>
      <c r="G23" s="1191"/>
    </row>
    <row r="24" spans="1:7" ht="15" thickBot="1">
      <c r="A24" s="587"/>
      <c r="B24" s="1188" t="s">
        <v>1222</v>
      </c>
      <c r="C24" s="1188" t="s">
        <v>1223</v>
      </c>
      <c r="D24" s="1188" t="s">
        <v>1201</v>
      </c>
      <c r="E24" s="1218">
        <v>22.866999716460164</v>
      </c>
      <c r="F24" s="1218">
        <v>25.502095332883233</v>
      </c>
      <c r="G24" s="1191"/>
    </row>
    <row r="25" spans="1:7" ht="15" thickBot="1">
      <c r="A25" s="587"/>
      <c r="B25" s="1188" t="s">
        <v>288</v>
      </c>
      <c r="C25" s="1220" t="s">
        <v>1224</v>
      </c>
      <c r="D25" s="1188" t="s">
        <v>1201</v>
      </c>
      <c r="E25" s="1218">
        <v>13.342574763216291</v>
      </c>
      <c r="F25" s="1218">
        <v>14.486648545808332</v>
      </c>
      <c r="G25" s="1191"/>
    </row>
    <row r="26" spans="1:7" ht="15" thickBot="1">
      <c r="A26" s="587"/>
      <c r="B26" s="1197" t="s">
        <v>1225</v>
      </c>
      <c r="C26" s="1197" t="s">
        <v>1226</v>
      </c>
      <c r="D26" s="1197" t="s">
        <v>1201</v>
      </c>
      <c r="E26" s="1221">
        <v>1.8404255203235471</v>
      </c>
      <c r="F26" s="1221">
        <v>1.8165793918656026</v>
      </c>
      <c r="G26" s="1199"/>
    </row>
    <row r="27" spans="1:7" ht="15" thickBot="1">
      <c r="A27" s="587"/>
      <c r="B27" s="1188" t="s">
        <v>1227</v>
      </c>
      <c r="C27" s="1222" t="s">
        <v>1228</v>
      </c>
      <c r="D27" s="1222"/>
      <c r="E27" s="1222"/>
      <c r="F27" s="1222"/>
      <c r="G27" s="1190"/>
    </row>
    <row r="28" spans="1:7">
      <c r="A28" s="587"/>
      <c r="B28" s="1223" t="s">
        <v>1229</v>
      </c>
      <c r="C28" s="1223" t="s">
        <v>1230</v>
      </c>
      <c r="D28" s="1223" t="s">
        <v>1231</v>
      </c>
      <c r="E28" s="1316">
        <f>IFERROR(E29/E14/12*1000, 0)</f>
        <v>1449.204993638677</v>
      </c>
      <c r="F28" s="1317"/>
      <c r="G28" s="1224"/>
    </row>
    <row r="29" spans="1:7" ht="15" thickBot="1">
      <c r="A29" s="587"/>
      <c r="B29" s="1225" t="s">
        <v>1232</v>
      </c>
      <c r="C29" s="1226" t="s">
        <v>1233</v>
      </c>
      <c r="D29" s="1225" t="s">
        <v>1234</v>
      </c>
      <c r="E29" s="1320">
        <f>'4'!$E$53</f>
        <v>364.50404000000003</v>
      </c>
      <c r="F29" s="1321"/>
      <c r="G29" s="1227" t="s">
        <v>122</v>
      </c>
    </row>
    <row r="30" spans="1:7">
      <c r="A30" s="587"/>
      <c r="B30" s="1212" t="s">
        <v>141</v>
      </c>
      <c r="C30" s="1201" t="s">
        <v>1235</v>
      </c>
      <c r="D30" s="1201" t="s">
        <v>1231</v>
      </c>
      <c r="E30" s="1322">
        <f>IFERROR(E31/E18/12*1000, 0)</f>
        <v>1523.069931773879</v>
      </c>
      <c r="F30" s="1323"/>
      <c r="G30" s="1228"/>
    </row>
    <row r="31" spans="1:7" ht="15" thickBot="1">
      <c r="A31" s="587"/>
      <c r="B31" s="1229" t="s">
        <v>574</v>
      </c>
      <c r="C31" s="1226" t="s">
        <v>1236</v>
      </c>
      <c r="D31" s="1225" t="s">
        <v>1234</v>
      </c>
      <c r="E31" s="1310">
        <f>'4'!$I$53</f>
        <v>812.58826999999985</v>
      </c>
      <c r="F31" s="1311"/>
      <c r="G31" s="1227" t="s">
        <v>122</v>
      </c>
    </row>
    <row r="32" spans="1:7">
      <c r="A32" s="587"/>
      <c r="B32" s="1197" t="s">
        <v>143</v>
      </c>
      <c r="C32" s="1230" t="s">
        <v>1237</v>
      </c>
      <c r="D32" s="1201" t="s">
        <v>1231</v>
      </c>
      <c r="E32" s="1324">
        <f>IFERROR(E33/E22/12*1000, 0)</f>
        <v>1357.5239898989898</v>
      </c>
      <c r="F32" s="1325"/>
      <c r="G32" s="1228"/>
    </row>
    <row r="33" spans="1:7" ht="15" thickBot="1">
      <c r="A33" s="587"/>
      <c r="B33" s="1229" t="s">
        <v>1238</v>
      </c>
      <c r="C33" s="1226" t="s">
        <v>1239</v>
      </c>
      <c r="D33" s="1225" t="s">
        <v>1234</v>
      </c>
      <c r="E33" s="1310">
        <f>'4'!$M$53</f>
        <v>32.254770000000001</v>
      </c>
      <c r="F33" s="1311"/>
      <c r="G33" s="1227" t="s">
        <v>122</v>
      </c>
    </row>
    <row r="34" spans="1:7">
      <c r="A34" s="587"/>
      <c r="B34" s="1201" t="s">
        <v>451</v>
      </c>
      <c r="C34" s="1231" t="s">
        <v>1240</v>
      </c>
      <c r="D34" s="1197" t="s">
        <v>1231</v>
      </c>
      <c r="E34" s="1316">
        <f>IFERROR(E35/E23/12*1000, 0)</f>
        <v>1862.1237777777778</v>
      </c>
      <c r="F34" s="1317"/>
      <c r="G34" s="1232"/>
    </row>
    <row r="35" spans="1:7" ht="15" thickBot="1">
      <c r="A35" s="587"/>
      <c r="B35" s="1229" t="s">
        <v>1241</v>
      </c>
      <c r="C35" s="1226" t="s">
        <v>1242</v>
      </c>
      <c r="D35" s="1225" t="s">
        <v>1234</v>
      </c>
      <c r="E35" s="1310">
        <f>'4'!$O$53</f>
        <v>83.795570000000012</v>
      </c>
      <c r="F35" s="1311"/>
      <c r="G35" s="1227" t="s">
        <v>122</v>
      </c>
    </row>
    <row r="36" spans="1:7">
      <c r="A36" s="587"/>
      <c r="B36" s="1201" t="s">
        <v>455</v>
      </c>
      <c r="C36" s="1213" t="s">
        <v>1243</v>
      </c>
      <c r="D36" s="1201" t="s">
        <v>1231</v>
      </c>
      <c r="E36" s="1316">
        <f>IFERROR(E37/E24/12*1000, 0)</f>
        <v>1554.1319323461087</v>
      </c>
      <c r="F36" s="1317"/>
      <c r="G36" s="1228"/>
    </row>
    <row r="37" spans="1:7" ht="15" thickBot="1">
      <c r="A37" s="587"/>
      <c r="B37" s="1229" t="s">
        <v>972</v>
      </c>
      <c r="C37" s="1226" t="s">
        <v>1244</v>
      </c>
      <c r="D37" s="1225" t="s">
        <v>1234</v>
      </c>
      <c r="E37" s="1310">
        <f>'4'!O109+'4'!E109+'4'!I109+'4'!M109</f>
        <v>426.46001347560184</v>
      </c>
      <c r="F37" s="1311"/>
      <c r="G37" s="1227" t="s">
        <v>122</v>
      </c>
    </row>
    <row r="38" spans="1:7">
      <c r="A38" s="587"/>
      <c r="B38" s="1201" t="s">
        <v>457</v>
      </c>
      <c r="C38" s="1213" t="s">
        <v>1245</v>
      </c>
      <c r="D38" s="1201" t="s">
        <v>1231</v>
      </c>
      <c r="E38" s="1316">
        <f>IFERROR(E39/E25/12*1000, 0)</f>
        <v>2349.5071145755996</v>
      </c>
      <c r="F38" s="1317"/>
      <c r="G38" s="1228"/>
    </row>
    <row r="39" spans="1:7" ht="15" thickBot="1">
      <c r="A39" s="587"/>
      <c r="B39" s="1229" t="s">
        <v>1246</v>
      </c>
      <c r="C39" s="1226" t="s">
        <v>1247</v>
      </c>
      <c r="D39" s="1225" t="s">
        <v>1234</v>
      </c>
      <c r="E39" s="1310">
        <f>'4'!O206+'4'!E206+'4'!I206+'4'!M206</f>
        <v>376.1816919952023</v>
      </c>
      <c r="F39" s="1311"/>
      <c r="G39" s="1227" t="s">
        <v>122</v>
      </c>
    </row>
    <row r="40" spans="1:7" ht="15" thickBot="1">
      <c r="A40" s="587"/>
      <c r="B40" s="1233" t="s">
        <v>461</v>
      </c>
      <c r="C40" s="1234" t="s">
        <v>1248</v>
      </c>
      <c r="D40" s="1235" t="s">
        <v>1231</v>
      </c>
      <c r="E40" s="1312">
        <f>IFERROR((E29+E31+E33+E35+E37+E39)/E12/12*1000, 0)</f>
        <v>1626.7640509537907</v>
      </c>
      <c r="F40" s="1313"/>
      <c r="G40" s="1236"/>
    </row>
    <row r="41" spans="1:7" ht="26.5" thickBot="1">
      <c r="A41" s="587"/>
      <c r="B41" s="1188" t="s">
        <v>465</v>
      </c>
      <c r="C41" s="1237" t="s">
        <v>1249</v>
      </c>
      <c r="D41" s="1188" t="s">
        <v>845</v>
      </c>
      <c r="E41" s="1314">
        <f>IFERROR((E13+E24)/E25, 0)</f>
        <v>7.0463910740566025</v>
      </c>
      <c r="F41" s="1315"/>
      <c r="G41" s="1191"/>
    </row>
    <row r="42" spans="1:7">
      <c r="A42" s="587"/>
      <c r="B42" s="587"/>
      <c r="C42" s="1238"/>
      <c r="D42" s="587"/>
      <c r="E42" s="587"/>
      <c r="F42" s="587"/>
      <c r="G42" s="587"/>
    </row>
    <row r="43" spans="1:7">
      <c r="A43" s="587"/>
      <c r="B43" s="587"/>
      <c r="C43" s="75" t="s">
        <v>1250</v>
      </c>
      <c r="D43" s="587"/>
      <c r="E43" s="587"/>
      <c r="F43" s="587"/>
      <c r="G43" s="587"/>
    </row>
  </sheetData>
  <mergeCells count="15">
    <mergeCell ref="E32:F32"/>
    <mergeCell ref="E9:F9"/>
    <mergeCell ref="E28:F28"/>
    <mergeCell ref="E29:F29"/>
    <mergeCell ref="E30:F30"/>
    <mergeCell ref="E31:F31"/>
    <mergeCell ref="E39:F39"/>
    <mergeCell ref="E40:F40"/>
    <mergeCell ref="E41:F41"/>
    <mergeCell ref="E33:F33"/>
    <mergeCell ref="E34:F34"/>
    <mergeCell ref="E35:F35"/>
    <mergeCell ref="E36:F36"/>
    <mergeCell ref="E37:F37"/>
    <mergeCell ref="E38:F38"/>
  </mergeCells>
  <pageMargins left="0.7" right="0.7" top="0.75" bottom="0.75" header="0.3" footer="0.3"/>
  <pageSetup paperSize="9" scale="6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vt:lpstr>
      <vt:lpstr>3</vt:lpstr>
      <vt:lpstr>4</vt:lpstr>
      <vt:lpstr>5</vt:lpstr>
      <vt:lpstr>6</vt:lpstr>
      <vt:lpstr>7</vt:lpstr>
      <vt:lpstr>8</vt:lpstr>
      <vt:lpstr>9</vt:lpstr>
      <vt:lpstr>10</vt:lpstr>
      <vt:lpstr>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Vilnius Economics</dc:creator>
  <cp:lastModifiedBy>Vilnius Economics</cp:lastModifiedBy>
  <dcterms:created xsi:type="dcterms:W3CDTF">2024-04-26T08:33:48Z</dcterms:created>
  <dcterms:modified xsi:type="dcterms:W3CDTF">2024-04-26T09:58:12Z</dcterms:modified>
</cp:coreProperties>
</file>